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eorge\Documents\FFGC Recording Secretary\Sept 2022 Board Meeting\"/>
    </mc:Choice>
  </mc:AlternateContent>
  <xr:revisionPtr revIDLastSave="0" documentId="8_{601CDDA6-0A8D-47D0-8E34-884F25DF77C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Budget vs. Actuals" sheetId="1" r:id="rId1"/>
  </sheets>
  <definedNames>
    <definedName name="_xlnm.Print_Titles" localSheetId="0">'Budget vs. Actuals'!$6:$6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7" i="1" l="1"/>
  <c r="B227" i="1"/>
  <c r="D227" i="1" s="1"/>
  <c r="C226" i="1"/>
  <c r="E226" i="1" s="1"/>
  <c r="B226" i="1"/>
  <c r="C225" i="1"/>
  <c r="B225" i="1"/>
  <c r="E224" i="1"/>
  <c r="D224" i="1"/>
  <c r="E223" i="1"/>
  <c r="B223" i="1"/>
  <c r="D223" i="1" s="1"/>
  <c r="E222" i="1"/>
  <c r="B222" i="1"/>
  <c r="D222" i="1" s="1"/>
  <c r="C221" i="1"/>
  <c r="E221" i="1" s="1"/>
  <c r="E220" i="1"/>
  <c r="B220" i="1"/>
  <c r="D220" i="1" s="1"/>
  <c r="E219" i="1"/>
  <c r="B219" i="1"/>
  <c r="B221" i="1" s="1"/>
  <c r="D221" i="1" s="1"/>
  <c r="E218" i="1"/>
  <c r="D218" i="1"/>
  <c r="C215" i="1"/>
  <c r="E215" i="1" s="1"/>
  <c r="B215" i="1"/>
  <c r="C214" i="1"/>
  <c r="E214" i="1" s="1"/>
  <c r="B214" i="1"/>
  <c r="E213" i="1"/>
  <c r="D213" i="1"/>
  <c r="E212" i="1"/>
  <c r="C212" i="1"/>
  <c r="D212" i="1" s="1"/>
  <c r="C211" i="1"/>
  <c r="E211" i="1" s="1"/>
  <c r="C210" i="1"/>
  <c r="D210" i="1" s="1"/>
  <c r="D209" i="1"/>
  <c r="C209" i="1"/>
  <c r="B209" i="1"/>
  <c r="E209" i="1" s="1"/>
  <c r="C207" i="1"/>
  <c r="E207" i="1" s="1"/>
  <c r="B207" i="1"/>
  <c r="C206" i="1"/>
  <c r="B206" i="1"/>
  <c r="D206" i="1" s="1"/>
  <c r="C204" i="1"/>
  <c r="D204" i="1" s="1"/>
  <c r="C203" i="1"/>
  <c r="B203" i="1"/>
  <c r="E202" i="1"/>
  <c r="C202" i="1"/>
  <c r="B202" i="1"/>
  <c r="B205" i="1" s="1"/>
  <c r="E201" i="1"/>
  <c r="D201" i="1"/>
  <c r="C200" i="1"/>
  <c r="B200" i="1"/>
  <c r="D200" i="1" s="1"/>
  <c r="C199" i="1"/>
  <c r="B199" i="1"/>
  <c r="C198" i="1"/>
  <c r="E198" i="1" s="1"/>
  <c r="B198" i="1"/>
  <c r="D198" i="1" s="1"/>
  <c r="C197" i="1"/>
  <c r="E197" i="1" s="1"/>
  <c r="B197" i="1"/>
  <c r="C195" i="1"/>
  <c r="B195" i="1"/>
  <c r="E194" i="1"/>
  <c r="C194" i="1"/>
  <c r="D194" i="1" s="1"/>
  <c r="C192" i="1"/>
  <c r="B192" i="1"/>
  <c r="E192" i="1" s="1"/>
  <c r="C191" i="1"/>
  <c r="B191" i="1"/>
  <c r="C190" i="1"/>
  <c r="B190" i="1"/>
  <c r="E190" i="1" s="1"/>
  <c r="C189" i="1"/>
  <c r="B189" i="1"/>
  <c r="C188" i="1"/>
  <c r="B188" i="1"/>
  <c r="B193" i="1" s="1"/>
  <c r="C187" i="1"/>
  <c r="B187" i="1"/>
  <c r="C186" i="1"/>
  <c r="B186" i="1"/>
  <c r="E186" i="1" s="1"/>
  <c r="C185" i="1"/>
  <c r="B185" i="1"/>
  <c r="C184" i="1"/>
  <c r="E184" i="1" s="1"/>
  <c r="B184" i="1"/>
  <c r="C182" i="1"/>
  <c r="E182" i="1" s="1"/>
  <c r="B182" i="1"/>
  <c r="D182" i="1" s="1"/>
  <c r="C181" i="1"/>
  <c r="E181" i="1" s="1"/>
  <c r="B181" i="1"/>
  <c r="D181" i="1" s="1"/>
  <c r="C180" i="1"/>
  <c r="C183" i="1" s="1"/>
  <c r="B180" i="1"/>
  <c r="B183" i="1" s="1"/>
  <c r="D183" i="1" s="1"/>
  <c r="E178" i="1"/>
  <c r="B178" i="1"/>
  <c r="D178" i="1" s="1"/>
  <c r="C177" i="1"/>
  <c r="C179" i="1" s="1"/>
  <c r="B177" i="1"/>
  <c r="B179" i="1" s="1"/>
  <c r="C176" i="1"/>
  <c r="B176" i="1"/>
  <c r="C175" i="1"/>
  <c r="B175" i="1"/>
  <c r="C174" i="1"/>
  <c r="E173" i="1"/>
  <c r="C173" i="1"/>
  <c r="B173" i="1"/>
  <c r="D173" i="1" s="1"/>
  <c r="E172" i="1"/>
  <c r="C172" i="1"/>
  <c r="B172" i="1"/>
  <c r="B174" i="1" s="1"/>
  <c r="D174" i="1" s="1"/>
  <c r="E171" i="1"/>
  <c r="C171" i="1"/>
  <c r="D171" i="1" s="1"/>
  <c r="C170" i="1"/>
  <c r="E170" i="1" s="1"/>
  <c r="C169" i="1"/>
  <c r="D169" i="1" s="1"/>
  <c r="E168" i="1"/>
  <c r="D168" i="1"/>
  <c r="C168" i="1"/>
  <c r="C167" i="1"/>
  <c r="B167" i="1"/>
  <c r="D167" i="1" s="1"/>
  <c r="B166" i="1"/>
  <c r="C165" i="1"/>
  <c r="E165" i="1" s="1"/>
  <c r="D164" i="1"/>
  <c r="C164" i="1"/>
  <c r="E164" i="1" s="1"/>
  <c r="E163" i="1"/>
  <c r="D163" i="1"/>
  <c r="E161" i="1"/>
  <c r="C161" i="1"/>
  <c r="D161" i="1" s="1"/>
  <c r="C160" i="1"/>
  <c r="E160" i="1" s="1"/>
  <c r="B160" i="1"/>
  <c r="C159" i="1"/>
  <c r="E159" i="1" s="1"/>
  <c r="E158" i="1"/>
  <c r="B158" i="1"/>
  <c r="D158" i="1" s="1"/>
  <c r="C157" i="1"/>
  <c r="B157" i="1"/>
  <c r="E157" i="1" s="1"/>
  <c r="D156" i="1"/>
  <c r="C156" i="1"/>
  <c r="B156" i="1"/>
  <c r="E156" i="1" s="1"/>
  <c r="E155" i="1"/>
  <c r="D155" i="1"/>
  <c r="B155" i="1"/>
  <c r="E154" i="1"/>
  <c r="B154" i="1"/>
  <c r="D154" i="1" s="1"/>
  <c r="D153" i="1"/>
  <c r="C153" i="1"/>
  <c r="E153" i="1" s="1"/>
  <c r="E152" i="1"/>
  <c r="B152" i="1"/>
  <c r="D152" i="1" s="1"/>
  <c r="C151" i="1"/>
  <c r="B151" i="1"/>
  <c r="C150" i="1"/>
  <c r="B150" i="1"/>
  <c r="E150" i="1" s="1"/>
  <c r="C149" i="1"/>
  <c r="B149" i="1"/>
  <c r="E148" i="1"/>
  <c r="B148" i="1"/>
  <c r="D148" i="1" s="1"/>
  <c r="C147" i="1"/>
  <c r="E147" i="1" s="1"/>
  <c r="C146" i="1"/>
  <c r="E146" i="1" s="1"/>
  <c r="B146" i="1"/>
  <c r="C145" i="1"/>
  <c r="B145" i="1"/>
  <c r="D145" i="1" s="1"/>
  <c r="D144" i="1"/>
  <c r="C144" i="1"/>
  <c r="B144" i="1"/>
  <c r="C143" i="1"/>
  <c r="E143" i="1" s="1"/>
  <c r="B143" i="1"/>
  <c r="E142" i="1"/>
  <c r="B142" i="1"/>
  <c r="D142" i="1" s="1"/>
  <c r="E141" i="1"/>
  <c r="B141" i="1"/>
  <c r="D141" i="1" s="1"/>
  <c r="E140" i="1"/>
  <c r="D140" i="1"/>
  <c r="B140" i="1"/>
  <c r="C139" i="1"/>
  <c r="B139" i="1"/>
  <c r="D139" i="1" s="1"/>
  <c r="C137" i="1"/>
  <c r="B137" i="1"/>
  <c r="C136" i="1"/>
  <c r="B136" i="1"/>
  <c r="B138" i="1" s="1"/>
  <c r="E135" i="1"/>
  <c r="B135" i="1"/>
  <c r="D135" i="1" s="1"/>
  <c r="E134" i="1"/>
  <c r="D134" i="1"/>
  <c r="B134" i="1"/>
  <c r="C133" i="1"/>
  <c r="E133" i="1" s="1"/>
  <c r="B133" i="1"/>
  <c r="E132" i="1"/>
  <c r="B132" i="1"/>
  <c r="D132" i="1" s="1"/>
  <c r="C131" i="1"/>
  <c r="B131" i="1"/>
  <c r="E131" i="1" s="1"/>
  <c r="E130" i="1"/>
  <c r="B130" i="1"/>
  <c r="D130" i="1" s="1"/>
  <c r="E129" i="1"/>
  <c r="C129" i="1"/>
  <c r="B129" i="1"/>
  <c r="D129" i="1" s="1"/>
  <c r="E128" i="1"/>
  <c r="D128" i="1"/>
  <c r="C128" i="1"/>
  <c r="C127" i="1"/>
  <c r="B127" i="1"/>
  <c r="D127" i="1" s="1"/>
  <c r="C126" i="1"/>
  <c r="B126" i="1"/>
  <c r="C125" i="1"/>
  <c r="E125" i="1" s="1"/>
  <c r="B125" i="1"/>
  <c r="C124" i="1"/>
  <c r="B124" i="1"/>
  <c r="D124" i="1" s="1"/>
  <c r="E123" i="1"/>
  <c r="D123" i="1"/>
  <c r="E122" i="1"/>
  <c r="D122" i="1"/>
  <c r="B122" i="1"/>
  <c r="E121" i="1"/>
  <c r="B121" i="1"/>
  <c r="D121" i="1" s="1"/>
  <c r="C119" i="1"/>
  <c r="B119" i="1"/>
  <c r="D119" i="1" s="1"/>
  <c r="C118" i="1"/>
  <c r="E118" i="1" s="1"/>
  <c r="B118" i="1"/>
  <c r="C117" i="1"/>
  <c r="E117" i="1" s="1"/>
  <c r="E116" i="1"/>
  <c r="C116" i="1"/>
  <c r="D116" i="1" s="1"/>
  <c r="C115" i="1"/>
  <c r="E115" i="1" s="1"/>
  <c r="C113" i="1"/>
  <c r="D113" i="1" s="1"/>
  <c r="B113" i="1"/>
  <c r="E112" i="1"/>
  <c r="B112" i="1"/>
  <c r="D112" i="1" s="1"/>
  <c r="C111" i="1"/>
  <c r="B111" i="1"/>
  <c r="D111" i="1" s="1"/>
  <c r="E110" i="1"/>
  <c r="D110" i="1"/>
  <c r="E109" i="1"/>
  <c r="B109" i="1"/>
  <c r="D109" i="1" s="1"/>
  <c r="C107" i="1"/>
  <c r="E107" i="1" s="1"/>
  <c r="C106" i="1"/>
  <c r="E106" i="1" s="1"/>
  <c r="B106" i="1"/>
  <c r="E105" i="1"/>
  <c r="B105" i="1"/>
  <c r="B108" i="1" s="1"/>
  <c r="E104" i="1"/>
  <c r="D104" i="1"/>
  <c r="E103" i="1"/>
  <c r="B103" i="1"/>
  <c r="D103" i="1" s="1"/>
  <c r="C102" i="1"/>
  <c r="E102" i="1" s="1"/>
  <c r="E101" i="1"/>
  <c r="D101" i="1"/>
  <c r="B101" i="1"/>
  <c r="E100" i="1"/>
  <c r="B100" i="1"/>
  <c r="D100" i="1" s="1"/>
  <c r="E96" i="1"/>
  <c r="D96" i="1"/>
  <c r="B96" i="1"/>
  <c r="C95" i="1"/>
  <c r="E95" i="1" s="1"/>
  <c r="E94" i="1"/>
  <c r="B94" i="1"/>
  <c r="D94" i="1" s="1"/>
  <c r="E93" i="1"/>
  <c r="B93" i="1"/>
  <c r="D93" i="1" s="1"/>
  <c r="E92" i="1"/>
  <c r="B92" i="1"/>
  <c r="E90" i="1"/>
  <c r="D90" i="1"/>
  <c r="B90" i="1"/>
  <c r="E89" i="1"/>
  <c r="B89" i="1"/>
  <c r="D89" i="1" s="1"/>
  <c r="C88" i="1"/>
  <c r="E88" i="1" s="1"/>
  <c r="E87" i="1"/>
  <c r="B87" i="1"/>
  <c r="D87" i="1" s="1"/>
  <c r="E86" i="1"/>
  <c r="B86" i="1"/>
  <c r="D86" i="1" s="1"/>
  <c r="C84" i="1"/>
  <c r="C85" i="1" s="1"/>
  <c r="B84" i="1"/>
  <c r="D84" i="1" s="1"/>
  <c r="E83" i="1"/>
  <c r="D83" i="1"/>
  <c r="E82" i="1"/>
  <c r="B82" i="1"/>
  <c r="D82" i="1" s="1"/>
  <c r="C81" i="1"/>
  <c r="E81" i="1" s="1"/>
  <c r="B81" i="1"/>
  <c r="C80" i="1"/>
  <c r="B80" i="1"/>
  <c r="D80" i="1" s="1"/>
  <c r="C79" i="1"/>
  <c r="B79" i="1"/>
  <c r="E79" i="1" s="1"/>
  <c r="E78" i="1"/>
  <c r="D78" i="1"/>
  <c r="C76" i="1"/>
  <c r="D76" i="1" s="1"/>
  <c r="B76" i="1"/>
  <c r="C75" i="1"/>
  <c r="E75" i="1" s="1"/>
  <c r="B75" i="1"/>
  <c r="E73" i="1"/>
  <c r="B73" i="1"/>
  <c r="D73" i="1" s="1"/>
  <c r="E72" i="1"/>
  <c r="B72" i="1"/>
  <c r="E71" i="1"/>
  <c r="C71" i="1"/>
  <c r="D71" i="1" s="1"/>
  <c r="C70" i="1"/>
  <c r="D70" i="1" s="1"/>
  <c r="E69" i="1"/>
  <c r="B69" i="1"/>
  <c r="D69" i="1" s="1"/>
  <c r="E68" i="1"/>
  <c r="B68" i="1"/>
  <c r="D68" i="1" s="1"/>
  <c r="C67" i="1"/>
  <c r="E67" i="1" s="1"/>
  <c r="B67" i="1"/>
  <c r="C66" i="1"/>
  <c r="B66" i="1"/>
  <c r="E66" i="1" s="1"/>
  <c r="C65" i="1"/>
  <c r="E64" i="1"/>
  <c r="B64" i="1"/>
  <c r="D64" i="1" s="1"/>
  <c r="E63" i="1"/>
  <c r="D63" i="1"/>
  <c r="B63" i="1"/>
  <c r="E62" i="1"/>
  <c r="B62" i="1"/>
  <c r="D62" i="1" s="1"/>
  <c r="C61" i="1"/>
  <c r="B61" i="1"/>
  <c r="C60" i="1"/>
  <c r="D60" i="1" s="1"/>
  <c r="B60" i="1"/>
  <c r="C59" i="1"/>
  <c r="B59" i="1"/>
  <c r="D59" i="1" s="1"/>
  <c r="E58" i="1"/>
  <c r="D58" i="1"/>
  <c r="E56" i="1"/>
  <c r="D56" i="1"/>
  <c r="B56" i="1"/>
  <c r="E54" i="1"/>
  <c r="B54" i="1"/>
  <c r="D54" i="1" s="1"/>
  <c r="C53" i="1"/>
  <c r="B53" i="1"/>
  <c r="D53" i="1" s="1"/>
  <c r="D52" i="1"/>
  <c r="C52" i="1"/>
  <c r="B52" i="1"/>
  <c r="E51" i="1"/>
  <c r="D51" i="1"/>
  <c r="B51" i="1"/>
  <c r="E50" i="1"/>
  <c r="B50" i="1"/>
  <c r="D50" i="1" s="1"/>
  <c r="E48" i="1"/>
  <c r="B48" i="1"/>
  <c r="D48" i="1" s="1"/>
  <c r="C47" i="1"/>
  <c r="E47" i="1" s="1"/>
  <c r="B47" i="1"/>
  <c r="E46" i="1"/>
  <c r="B46" i="1"/>
  <c r="D46" i="1" s="1"/>
  <c r="E45" i="1"/>
  <c r="B45" i="1"/>
  <c r="D45" i="1" s="1"/>
  <c r="C44" i="1"/>
  <c r="B44" i="1"/>
  <c r="B49" i="1" s="1"/>
  <c r="E43" i="1"/>
  <c r="D43" i="1"/>
  <c r="E40" i="1"/>
  <c r="D40" i="1"/>
  <c r="B40" i="1"/>
  <c r="C39" i="1"/>
  <c r="C41" i="1" s="1"/>
  <c r="B39" i="1"/>
  <c r="D39" i="1" s="1"/>
  <c r="C38" i="1"/>
  <c r="E37" i="1"/>
  <c r="B37" i="1"/>
  <c r="D37" i="1" s="1"/>
  <c r="E36" i="1"/>
  <c r="D36" i="1"/>
  <c r="B36" i="1"/>
  <c r="E35" i="1"/>
  <c r="D35" i="1"/>
  <c r="E34" i="1"/>
  <c r="D34" i="1"/>
  <c r="C32" i="1"/>
  <c r="E32" i="1" s="1"/>
  <c r="B32" i="1"/>
  <c r="C31" i="1"/>
  <c r="E31" i="1" s="1"/>
  <c r="B31" i="1"/>
  <c r="C30" i="1"/>
  <c r="D30" i="1" s="1"/>
  <c r="B30" i="1"/>
  <c r="C29" i="1"/>
  <c r="E29" i="1" s="1"/>
  <c r="B29" i="1"/>
  <c r="C28" i="1"/>
  <c r="D28" i="1" s="1"/>
  <c r="B28" i="1"/>
  <c r="E27" i="1"/>
  <c r="B27" i="1"/>
  <c r="D27" i="1" s="1"/>
  <c r="C26" i="1"/>
  <c r="E26" i="1" s="1"/>
  <c r="C25" i="1"/>
  <c r="B25" i="1"/>
  <c r="D25" i="1" s="1"/>
  <c r="C24" i="1"/>
  <c r="B24" i="1"/>
  <c r="E23" i="1"/>
  <c r="D23" i="1"/>
  <c r="E22" i="1"/>
  <c r="B22" i="1"/>
  <c r="D22" i="1" s="1"/>
  <c r="D19" i="1"/>
  <c r="C19" i="1"/>
  <c r="B19" i="1"/>
  <c r="E18" i="1"/>
  <c r="D18" i="1"/>
  <c r="B18" i="1"/>
  <c r="E17" i="1"/>
  <c r="D17" i="1"/>
  <c r="E16" i="1"/>
  <c r="B16" i="1"/>
  <c r="D16" i="1" s="1"/>
  <c r="C15" i="1"/>
  <c r="E15" i="1" s="1"/>
  <c r="B15" i="1"/>
  <c r="C14" i="1"/>
  <c r="B14" i="1"/>
  <c r="D14" i="1" s="1"/>
  <c r="C13" i="1"/>
  <c r="B13" i="1"/>
  <c r="D13" i="1" s="1"/>
  <c r="D12" i="1"/>
  <c r="C12" i="1"/>
  <c r="B12" i="1"/>
  <c r="E11" i="1"/>
  <c r="D11" i="1"/>
  <c r="C10" i="1"/>
  <c r="E10" i="1" s="1"/>
  <c r="B10" i="1"/>
  <c r="E9" i="1"/>
  <c r="B9" i="1"/>
  <c r="D9" i="1" s="1"/>
  <c r="E8" i="1"/>
  <c r="D8" i="1"/>
  <c r="B8" i="1"/>
  <c r="E14" i="1" l="1"/>
  <c r="E25" i="1"/>
  <c r="D29" i="1"/>
  <c r="D31" i="1"/>
  <c r="D32" i="1"/>
  <c r="C49" i="1"/>
  <c r="E49" i="1" s="1"/>
  <c r="D47" i="1"/>
  <c r="E59" i="1"/>
  <c r="B74" i="1"/>
  <c r="D75" i="1"/>
  <c r="D115" i="1"/>
  <c r="D118" i="1"/>
  <c r="E127" i="1"/>
  <c r="E167" i="1"/>
  <c r="D170" i="1"/>
  <c r="E183" i="1"/>
  <c r="E199" i="1"/>
  <c r="C208" i="1"/>
  <c r="B21" i="1"/>
  <c r="E13" i="1"/>
  <c r="B33" i="1"/>
  <c r="D33" i="1" s="1"/>
  <c r="E28" i="1"/>
  <c r="E30" i="1"/>
  <c r="E53" i="1"/>
  <c r="C55" i="1"/>
  <c r="B65" i="1"/>
  <c r="D65" i="1" s="1"/>
  <c r="E70" i="1"/>
  <c r="D72" i="1"/>
  <c r="E76" i="1"/>
  <c r="B102" i="1"/>
  <c r="D102" i="1" s="1"/>
  <c r="D107" i="1"/>
  <c r="E111" i="1"/>
  <c r="D117" i="1"/>
  <c r="D126" i="1"/>
  <c r="D147" i="1"/>
  <c r="D165" i="1"/>
  <c r="D180" i="1"/>
  <c r="C193" i="1"/>
  <c r="C196" i="1" s="1"/>
  <c r="E196" i="1" s="1"/>
  <c r="E195" i="1"/>
  <c r="D203" i="1"/>
  <c r="E204" i="1"/>
  <c r="E206" i="1"/>
  <c r="C228" i="1"/>
  <c r="D15" i="1"/>
  <c r="E124" i="1"/>
  <c r="D125" i="1"/>
  <c r="D136" i="1"/>
  <c r="E139" i="1"/>
  <c r="D143" i="1"/>
  <c r="D160" i="1"/>
  <c r="E174" i="1"/>
  <c r="D176" i="1"/>
  <c r="E12" i="1"/>
  <c r="B20" i="1"/>
  <c r="E19" i="1"/>
  <c r="C33" i="1"/>
  <c r="D26" i="1"/>
  <c r="D106" i="1"/>
  <c r="D137" i="1"/>
  <c r="E144" i="1"/>
  <c r="D146" i="1"/>
  <c r="E149" i="1"/>
  <c r="E151" i="1"/>
  <c r="D157" i="1"/>
  <c r="E169" i="1"/>
  <c r="D172" i="1"/>
  <c r="D175" i="1"/>
  <c r="E179" i="1"/>
  <c r="E180" i="1"/>
  <c r="E185" i="1"/>
  <c r="E187" i="1"/>
  <c r="E189" i="1"/>
  <c r="E191" i="1"/>
  <c r="C205" i="1"/>
  <c r="E205" i="1" s="1"/>
  <c r="E203" i="1"/>
  <c r="D207" i="1"/>
  <c r="D219" i="1"/>
  <c r="D226" i="1"/>
  <c r="C42" i="1"/>
  <c r="B196" i="1"/>
  <c r="D196" i="1" s="1"/>
  <c r="D193" i="1"/>
  <c r="E33" i="1"/>
  <c r="D10" i="1"/>
  <c r="E24" i="1"/>
  <c r="E38" i="1"/>
  <c r="E39" i="1"/>
  <c r="B41" i="1"/>
  <c r="D41" i="1" s="1"/>
  <c r="D44" i="1"/>
  <c r="E60" i="1"/>
  <c r="D61" i="1"/>
  <c r="D66" i="1"/>
  <c r="C91" i="1"/>
  <c r="E80" i="1"/>
  <c r="E84" i="1"/>
  <c r="E113" i="1"/>
  <c r="B162" i="1"/>
  <c r="D131" i="1"/>
  <c r="D133" i="1"/>
  <c r="E136" i="1"/>
  <c r="E137" i="1"/>
  <c r="D149" i="1"/>
  <c r="D150" i="1"/>
  <c r="D151" i="1"/>
  <c r="E175" i="1"/>
  <c r="E176" i="1"/>
  <c r="E177" i="1"/>
  <c r="D184" i="1"/>
  <c r="D185" i="1"/>
  <c r="D186" i="1"/>
  <c r="D187" i="1"/>
  <c r="D188" i="1"/>
  <c r="D189" i="1"/>
  <c r="D190" i="1"/>
  <c r="D191" i="1"/>
  <c r="D192" i="1"/>
  <c r="E200" i="1"/>
  <c r="D215" i="1"/>
  <c r="C216" i="1"/>
  <c r="B228" i="1"/>
  <c r="C20" i="1"/>
  <c r="E20" i="1" s="1"/>
  <c r="C21" i="1"/>
  <c r="E21" i="1" s="1"/>
  <c r="B38" i="1"/>
  <c r="E44" i="1"/>
  <c r="C57" i="1"/>
  <c r="E52" i="1"/>
  <c r="D81" i="1"/>
  <c r="B85" i="1"/>
  <c r="D85" i="1" s="1"/>
  <c r="B88" i="1"/>
  <c r="D88" i="1" s="1"/>
  <c r="B95" i="1"/>
  <c r="D95" i="1" s="1"/>
  <c r="D92" i="1"/>
  <c r="C114" i="1"/>
  <c r="C138" i="1"/>
  <c r="C162" i="1" s="1"/>
  <c r="E162" i="1" s="1"/>
  <c r="C166" i="1"/>
  <c r="D179" i="1"/>
  <c r="E188" i="1"/>
  <c r="D197" i="1"/>
  <c r="D202" i="1"/>
  <c r="B208" i="1"/>
  <c r="E210" i="1"/>
  <c r="D214" i="1"/>
  <c r="E225" i="1"/>
  <c r="D24" i="1"/>
  <c r="B55" i="1"/>
  <c r="D55" i="1" s="1"/>
  <c r="E61" i="1"/>
  <c r="D67" i="1"/>
  <c r="C74" i="1"/>
  <c r="E74" i="1" s="1"/>
  <c r="D79" i="1"/>
  <c r="D105" i="1"/>
  <c r="C108" i="1"/>
  <c r="E108" i="1" s="1"/>
  <c r="B114" i="1"/>
  <c r="E119" i="1"/>
  <c r="E126" i="1"/>
  <c r="E145" i="1"/>
  <c r="D159" i="1"/>
  <c r="D177" i="1"/>
  <c r="D195" i="1"/>
  <c r="D199" i="1"/>
  <c r="D211" i="1"/>
  <c r="B216" i="1"/>
  <c r="D216" i="1" s="1"/>
  <c r="D225" i="1"/>
  <c r="D228" i="1" l="1"/>
  <c r="B77" i="1"/>
  <c r="E65" i="1"/>
  <c r="B57" i="1"/>
  <c r="D57" i="1" s="1"/>
  <c r="B91" i="1"/>
  <c r="D91" i="1" s="1"/>
  <c r="D208" i="1"/>
  <c r="E193" i="1"/>
  <c r="D49" i="1"/>
  <c r="D205" i="1"/>
  <c r="D114" i="1"/>
  <c r="B120" i="1"/>
  <c r="E138" i="1"/>
  <c r="D138" i="1"/>
  <c r="E57" i="1"/>
  <c r="E228" i="1"/>
  <c r="E55" i="1"/>
  <c r="E114" i="1"/>
  <c r="C120" i="1"/>
  <c r="D162" i="1"/>
  <c r="E41" i="1"/>
  <c r="D108" i="1"/>
  <c r="C77" i="1"/>
  <c r="D38" i="1"/>
  <c r="B42" i="1"/>
  <c r="E91" i="1"/>
  <c r="D77" i="1"/>
  <c r="D20" i="1"/>
  <c r="E208" i="1"/>
  <c r="D74" i="1"/>
  <c r="E42" i="1"/>
  <c r="B217" i="1"/>
  <c r="D217" i="1" s="1"/>
  <c r="C217" i="1"/>
  <c r="E166" i="1"/>
  <c r="D166" i="1"/>
  <c r="E216" i="1"/>
  <c r="E85" i="1"/>
  <c r="D21" i="1"/>
  <c r="E120" i="1" l="1"/>
  <c r="E217" i="1"/>
  <c r="D42" i="1"/>
  <c r="B97" i="1"/>
  <c r="E77" i="1"/>
  <c r="C97" i="1"/>
  <c r="C229" i="1"/>
  <c r="D120" i="1"/>
  <c r="B229" i="1"/>
  <c r="D229" i="1" l="1"/>
  <c r="B98" i="1"/>
  <c r="D97" i="1"/>
  <c r="E229" i="1"/>
  <c r="C98" i="1"/>
  <c r="E97" i="1"/>
  <c r="C230" i="1" l="1"/>
  <c r="E98" i="1"/>
  <c r="D98" i="1"/>
  <c r="B230" i="1"/>
  <c r="B231" i="1" l="1"/>
  <c r="D230" i="1"/>
  <c r="E230" i="1"/>
  <c r="C231" i="1"/>
  <c r="E231" i="1" s="1"/>
  <c r="D231" i="1" l="1"/>
</calcChain>
</file>

<file path=xl/sharedStrings.xml><?xml version="1.0" encoding="utf-8"?>
<sst xmlns="http://schemas.openxmlformats.org/spreadsheetml/2006/main" count="234" uniqueCount="234">
  <si>
    <t>Total</t>
  </si>
  <si>
    <t>Actual</t>
  </si>
  <si>
    <t>Budget</t>
  </si>
  <si>
    <t>over Budget</t>
  </si>
  <si>
    <t>% of Budget</t>
  </si>
  <si>
    <t>Revenue</t>
  </si>
  <si>
    <t xml:space="preserve">   100 100th Anniversary celebration!</t>
  </si>
  <si>
    <t xml:space="preserve">      In Memory of Ingrid Velez</t>
  </si>
  <si>
    <t xml:space="preserve">   Total 100 100th Anniversary celebration!</t>
  </si>
  <si>
    <t xml:space="preserve">   6000 GENERAL INCOME</t>
  </si>
  <si>
    <t xml:space="preserve">      6001 Dues - Members</t>
  </si>
  <si>
    <t xml:space="preserve">      6001.1 Dues - New Members</t>
  </si>
  <si>
    <t xml:space="preserve">      6003 Dues - Affiliate member</t>
  </si>
  <si>
    <t xml:space="preserve">      6004 FFGC  Life Memberships</t>
  </si>
  <si>
    <t xml:space="preserve">      6005.1 Undesignated Donations</t>
  </si>
  <si>
    <t xml:space="preserve">      6008 Headquarters Rental (H&amp;E)</t>
  </si>
  <si>
    <t xml:space="preserve">         6008.1 tax free rentals</t>
  </si>
  <si>
    <t xml:space="preserve">         6008.2 Taxable Rentals</t>
  </si>
  <si>
    <t xml:space="preserve">      Total 6008 Headquarters Rental (H&amp;E)</t>
  </si>
  <si>
    <t xml:space="preserve">   Total 6000 GENERAL INCOME</t>
  </si>
  <si>
    <t xml:space="preserve">   6005.2 Designated Donations</t>
  </si>
  <si>
    <t xml:space="preserve">   6100 PROGRAM SERVICES (FFGC)</t>
  </si>
  <si>
    <t xml:space="preserve">      6101 FFGC/UF Short Course</t>
  </si>
  <si>
    <t xml:space="preserve">      6102 F/S Schools and Symposiums</t>
  </si>
  <si>
    <t xml:space="preserve">      6103 Floral Design/Educ activities</t>
  </si>
  <si>
    <t xml:space="preserve">      6104 State Flower Show</t>
  </si>
  <si>
    <t xml:space="preserve">      6105 State Convention</t>
  </si>
  <si>
    <t xml:space="preserve">      6106 Tropical Short Course</t>
  </si>
  <si>
    <t xml:space="preserve">      6108 Short Course North</t>
  </si>
  <si>
    <t xml:space="preserve">      6201 TFG Subscriptions</t>
  </si>
  <si>
    <t xml:space="preserve">      6202 Fl Gardener Adv.Income</t>
  </si>
  <si>
    <t xml:space="preserve">   Total 6100 PROGRAM SERVICES (FFGC)</t>
  </si>
  <si>
    <t xml:space="preserve">   6300 SERVICE ITEMS (FFGC)</t>
  </si>
  <si>
    <t xml:space="preserve">      6302 Flower Arr Calendar</t>
  </si>
  <si>
    <t xml:space="preserve">         6302.01 2021 Calendars</t>
  </si>
  <si>
    <t xml:space="preserve">         6302.02 2021 Calendar Shipping</t>
  </si>
  <si>
    <t xml:space="preserve">      Total 6302 Flower Arr Calendar</t>
  </si>
  <si>
    <t xml:space="preserve">      6308 WAYS AND MEANS-SALES (FFGC)</t>
  </si>
  <si>
    <t xml:space="preserve">         6308.1 Square Inc</t>
  </si>
  <si>
    <t xml:space="preserve">      Total 6308 WAYS AND MEANS-SALES (FFGC)</t>
  </si>
  <si>
    <t xml:space="preserve">   Total 6300 SERVICE ITEMS (FFGC)</t>
  </si>
  <si>
    <t xml:space="preserve">   6400 INVESTMENT INCOME</t>
  </si>
  <si>
    <t xml:space="preserve">      6401 Interest Earned - Gen Fd (FFGC)</t>
  </si>
  <si>
    <t xml:space="preserve">      6403 Interest Earned Grant Account</t>
  </si>
  <si>
    <t xml:space="preserve">      6407 Int earned- Scholarship</t>
  </si>
  <si>
    <t xml:space="preserve">      6410 Int Earned H&amp;E</t>
  </si>
  <si>
    <t xml:space="preserve">      6424 Interest on Wekiva B&amp;M</t>
  </si>
  <si>
    <t xml:space="preserve">   Total 6400 INVESTMENT INCOME</t>
  </si>
  <si>
    <t xml:space="preserve">   6500 MISCELLANEOUS INCOME (FFGC)</t>
  </si>
  <si>
    <t xml:space="preserve">      6307.4 Amazon.com</t>
  </si>
  <si>
    <t xml:space="preserve">      6308.3 Credit Card Points</t>
  </si>
  <si>
    <t xml:space="preserve">      6507 Miscellaneous Revenue</t>
  </si>
  <si>
    <t xml:space="preserve">         6507.1 reimbursements</t>
  </si>
  <si>
    <t xml:space="preserve">      Total 6507 Miscellaneous Revenue</t>
  </si>
  <si>
    <t xml:space="preserve">      6507.2 Sales Tax Collection Allowance</t>
  </si>
  <si>
    <t xml:space="preserve">   Total 6500 MISCELLANEOUS INCOME (FFGC)</t>
  </si>
  <si>
    <t xml:space="preserve">   6600 WEKIVA INCOME</t>
  </si>
  <si>
    <t xml:space="preserve">      6604 Wekiva Critter Camp</t>
  </si>
  <si>
    <t xml:space="preserve">      6605.2 Campership Donations</t>
  </si>
  <si>
    <t xml:space="preserve">      6605.3 Undesignated Donations</t>
  </si>
  <si>
    <t xml:space="preserve">         6500.32 In Memory of Al Latina</t>
  </si>
  <si>
    <t xml:space="preserve">         6605.31 In Memory of Marion Hilliard</t>
  </si>
  <si>
    <t xml:space="preserve">         6605.33 In Memory of Ingrid Velez</t>
  </si>
  <si>
    <t xml:space="preserve">      Total 6605.3 Undesignated Donations</t>
  </si>
  <si>
    <t xml:space="preserve">      6605.4 Designated Donations</t>
  </si>
  <si>
    <t xml:space="preserve">      6607 Interest and Dividends</t>
  </si>
  <si>
    <t xml:space="preserve">      6607.1 Wekiva-Gain/Loss on Sale of Inv</t>
  </si>
  <si>
    <t xml:space="preserve">      6608 Volunteer Training (WVT)</t>
  </si>
  <si>
    <t xml:space="preserve">      6609 Wekiva Misc Income</t>
  </si>
  <si>
    <t xml:space="preserve">      6610 Wekiva Registrations</t>
  </si>
  <si>
    <t xml:space="preserve">         6610.2 GC Sponsored($250)</t>
  </si>
  <si>
    <t xml:space="preserve">         6610.4 Parent Paid Registrations</t>
  </si>
  <si>
    <t xml:space="preserve">      Total 6610 Wekiva Registrations</t>
  </si>
  <si>
    <t xml:space="preserve">      6612 Wekiva 9th Grade(LIT)</t>
  </si>
  <si>
    <t xml:space="preserve">      6614 Logo Sales</t>
  </si>
  <si>
    <t xml:space="preserve">   Total 6600 WEKIVA INCOME</t>
  </si>
  <si>
    <t xml:space="preserve">   6700 CONTRIBUTIONS</t>
  </si>
  <si>
    <t xml:space="preserve">      6005 Pillar of Pride</t>
  </si>
  <si>
    <t xml:space="preserve">      6007.1 bricks/garden path (H&amp;E)</t>
  </si>
  <si>
    <t xml:space="preserve">      6009 Hall of Fame Income (HQ)</t>
  </si>
  <si>
    <t xml:space="preserve">      6307.10 Coral Reef Restoration</t>
  </si>
  <si>
    <t xml:space="preserve">      6307.2 Color Our Garden (H&amp;E)</t>
  </si>
  <si>
    <t xml:space="preserve">         6307.21 Earth Stewardships H&amp;E)</t>
  </si>
  <si>
    <t xml:space="preserve">      Total 6307.2 Color Our Garden (H&amp;E)</t>
  </si>
  <si>
    <t xml:space="preserve">      6307.3 Penny Pines</t>
  </si>
  <si>
    <t xml:space="preserve">         6307.31 In memory of Al Latina</t>
  </si>
  <si>
    <t xml:space="preserve">      Total 6307.3 Penny Pines</t>
  </si>
  <si>
    <t xml:space="preserve">      6504 Scholarships</t>
  </si>
  <si>
    <t xml:space="preserve">      6603 Wekiva Contributions -B &amp; M</t>
  </si>
  <si>
    <t xml:space="preserve">   Total 6700 CONTRIBUTIONS</t>
  </si>
  <si>
    <t xml:space="preserve">   7000 SPECIAL CONTRIBUTIONS/PROJECTS</t>
  </si>
  <si>
    <t xml:space="preserve">      7004 Convention Awards</t>
  </si>
  <si>
    <t xml:space="preserve">      7019 SEEK Youth Envir. Conf.</t>
  </si>
  <si>
    <t xml:space="preserve">   Total 7000 SPECIAL CONTRIBUTIONS/PROJECTS</t>
  </si>
  <si>
    <t xml:space="preserve">   Services</t>
  </si>
  <si>
    <t>Total Revenue</t>
  </si>
  <si>
    <t>Gross Profit</t>
  </si>
  <si>
    <t>Expenditures</t>
  </si>
  <si>
    <t xml:space="preserve">   66000 Payroll Expenses</t>
  </si>
  <si>
    <t xml:space="preserve">      Taxes</t>
  </si>
  <si>
    <t xml:space="preserve">   Total 66000 Payroll Expenses</t>
  </si>
  <si>
    <t xml:space="preserve">   66900 Reconciliation Discrepancies</t>
  </si>
  <si>
    <t xml:space="preserve">   8000 GENERAL EXPENSES</t>
  </si>
  <si>
    <t xml:space="preserve">      8000.1 FFGC dues refunds</t>
  </si>
  <si>
    <t xml:space="preserve">      8001 NGC Dues -Members</t>
  </si>
  <si>
    <t xml:space="preserve">      8002 NGC Dues Youth Gardeners</t>
  </si>
  <si>
    <t xml:space="preserve">   Total 8000 GENERAL EXPENSES</t>
  </si>
  <si>
    <t xml:space="preserve">   8009 Pillar of Pride</t>
  </si>
  <si>
    <t xml:space="preserve">   8100 PROGRAM SERVICES EXPENSES</t>
  </si>
  <si>
    <t xml:space="preserve">      8101 State Convention</t>
  </si>
  <si>
    <t xml:space="preserve">         8101.1 Convention Installation</t>
  </si>
  <si>
    <t xml:space="preserve">         8101.2 Convention Board Dinner</t>
  </si>
  <si>
    <t xml:space="preserve">      Total 8101 State Convention</t>
  </si>
  <si>
    <t xml:space="preserve">      8103 NGC/DS Conventions</t>
  </si>
  <si>
    <t xml:space="preserve">      8104 FFGC Awards Preparation</t>
  </si>
  <si>
    <t xml:space="preserve">      8106 FDS/Educ Activities</t>
  </si>
  <si>
    <t xml:space="preserve">      8202 Fl Gardener-Circulation</t>
  </si>
  <si>
    <t xml:space="preserve">      8202.1 Florida Gardener Postage</t>
  </si>
  <si>
    <t xml:space="preserve">   Total 8100 PROGRAM SERVICES EXPENSES</t>
  </si>
  <si>
    <t xml:space="preserve">   8101.3 Event-1st Time Conv Registrants</t>
  </si>
  <si>
    <t xml:space="preserve">   8110 State Flower Show</t>
  </si>
  <si>
    <t xml:space="preserve">   8600 WEKIVA EXPENSE</t>
  </si>
  <si>
    <t xml:space="preserve">      8601 Wekiva-Administration</t>
  </si>
  <si>
    <t xml:space="preserve">      8604 Wekiva Bldg &amp; Maintenan</t>
  </si>
  <si>
    <t xml:space="preserve">      8605 Wekiva Camp Supplies</t>
  </si>
  <si>
    <t xml:space="preserve">      8606 Wekiva Canteen</t>
  </si>
  <si>
    <t xml:space="preserve">      8607 Wekiva Critter Camp</t>
  </si>
  <si>
    <t xml:space="preserve">      8609 Wekiva Clinic</t>
  </si>
  <si>
    <t xml:space="preserve">      8610 Wekiva Crafts</t>
  </si>
  <si>
    <t xml:space="preserve">      8612 Wekiva - Food</t>
  </si>
  <si>
    <t xml:space="preserve">      8612.5 Cleaning Supplies and Maint.</t>
  </si>
  <si>
    <t xml:space="preserve">      8613 Wekiva Insurance</t>
  </si>
  <si>
    <t xml:space="preserve">      8613.01 Wekiva Workers' Comp. Insurance</t>
  </si>
  <si>
    <t xml:space="preserve">      8613.1 Wekiva Internet Services</t>
  </si>
  <si>
    <t xml:space="preserve">      8614 Wekiva Miscellaneous</t>
  </si>
  <si>
    <t xml:space="preserve">         8614.1 fingerprinting</t>
  </si>
  <si>
    <t xml:space="preserve">      Total 8614 Wekiva Miscellaneous</t>
  </si>
  <si>
    <t xml:space="preserve">      8616 Wekiva Office Exp</t>
  </si>
  <si>
    <t xml:space="preserve">      8618 Wekiva -Payroll Taxes</t>
  </si>
  <si>
    <t xml:space="preserve">      8619 Wekiva Postage</t>
  </si>
  <si>
    <t xml:space="preserve">      8620 Wekiva Programs</t>
  </si>
  <si>
    <t xml:space="preserve">      8622 Wekiva 7th Gr Program</t>
  </si>
  <si>
    <t xml:space="preserve">      8623 Wekiva 8th Gr Program</t>
  </si>
  <si>
    <t xml:space="preserve">      8624 Wekiva 9th Gr Prog(LIT)</t>
  </si>
  <si>
    <t xml:space="preserve">      8625 Wekiva  Wages - Staff</t>
  </si>
  <si>
    <t xml:space="preserve">      8627.1 Wekiva Waterfront Expense</t>
  </si>
  <si>
    <t xml:space="preserve">      8627.2 Wekiva Website Hosting</t>
  </si>
  <si>
    <t xml:space="preserve">      8628 Wekiva Telephone &amp; Internet</t>
  </si>
  <si>
    <t xml:space="preserve">      8629 WYC designated donation purchas</t>
  </si>
  <si>
    <t xml:space="preserve">      8630 Wekiva Park Fees</t>
  </si>
  <si>
    <t xml:space="preserve">      8631 Wekiva Nature</t>
  </si>
  <si>
    <t xml:space="preserve">      8632 Wekiva Transportation</t>
  </si>
  <si>
    <t xml:space="preserve">      8636 Wekiva - Bank &amp; CC Fees</t>
  </si>
  <si>
    <t xml:space="preserve">      8637 Wekiva Volunteer Training</t>
  </si>
  <si>
    <t xml:space="preserve">      8638 Wekiva Registration Expense</t>
  </si>
  <si>
    <t xml:space="preserve">      8639 Amer. Camp Assoc. ACA</t>
  </si>
  <si>
    <t xml:space="preserve">      8640 Kitchen Supplies</t>
  </si>
  <si>
    <t xml:space="preserve">      8641 Opening/Closing/set up camp</t>
  </si>
  <si>
    <t xml:space="preserve">      8642 Volunteers</t>
  </si>
  <si>
    <t xml:space="preserve">      8643 ENVIRONMENT/PHOTOGRAPHY</t>
  </si>
  <si>
    <t xml:space="preserve">   Total 8600 WEKIVA EXPENSE</t>
  </si>
  <si>
    <t xml:space="preserve">   8900 OPERATING EXPENSES</t>
  </si>
  <si>
    <t xml:space="preserve">      8901 BOD Meeting Hospitality</t>
  </si>
  <si>
    <t xml:space="preserve">         8901.1 Hospitality-Other(Awds/H&amp;E/Nom</t>
  </si>
  <si>
    <t xml:space="preserve">      Total 8901 BOD Meeting Hospitality</t>
  </si>
  <si>
    <t xml:space="preserve">      8902 Bank Charges-General Fd</t>
  </si>
  <si>
    <t xml:space="preserve">      8907 District Mtg Tour Expenses</t>
  </si>
  <si>
    <t xml:space="preserve">      8911 Gifts/Memorials/Courtesies</t>
  </si>
  <si>
    <t xml:space="preserve">      8915 Floral Design Study</t>
  </si>
  <si>
    <t xml:space="preserve">      8920 Engraving/Bricks/Plaques</t>
  </si>
  <si>
    <t xml:space="preserve">      8921 Insurance</t>
  </si>
  <si>
    <t xml:space="preserve">         8921.1 Workers' Compensation</t>
  </si>
  <si>
    <t xml:space="preserve">      Total 8921 Insurance</t>
  </si>
  <si>
    <t xml:space="preserve">      8923 Legal &amp; Accounting</t>
  </si>
  <si>
    <t xml:space="preserve">      8925 Membership Cards</t>
  </si>
  <si>
    <t xml:space="preserve">      8927 MISCELLANEOUS EXPENSES</t>
  </si>
  <si>
    <t xml:space="preserve">         8927.1 1st Time Conv. Attendees Party</t>
  </si>
  <si>
    <t xml:space="preserve">      Total 8927 MISCELLANEOUS EXPENSES</t>
  </si>
  <si>
    <t xml:space="preserve">      8929 OFFICE SUPPLIES</t>
  </si>
  <si>
    <t xml:space="preserve">         8943 Postage</t>
  </si>
  <si>
    <t xml:space="preserve">         8945 Printing &amp; Stationery</t>
  </si>
  <si>
    <t xml:space="preserve">      Total 8929 OFFICE SUPPLIES</t>
  </si>
  <si>
    <t xml:space="preserve">      8933 REPAIRS AND MAINTENANCE</t>
  </si>
  <si>
    <t xml:space="preserve">         8933.1 Pest Control - JC Ehrlich (H&amp;E)</t>
  </si>
  <si>
    <t xml:space="preserve">         8933.3 HVAC (H&amp;E)</t>
  </si>
  <si>
    <t xml:space="preserve">         8953 Repairs &amp; Maintenance - Bldg.</t>
  </si>
  <si>
    <t xml:space="preserve">         8954 Repairs &amp; Maintenance - Grounds</t>
  </si>
  <si>
    <t xml:space="preserve">            8933.4 Security Monitoring</t>
  </si>
  <si>
    <t xml:space="preserve">            8954.1 lawncare (Grandtopia (H&amp;E)</t>
  </si>
  <si>
    <t xml:space="preserve">            8954.2 irrigation( Poole/Fuller)(H&amp;E)</t>
  </si>
  <si>
    <t xml:space="preserve">            8954.3 Q F (lawn/shrub/pest)(H&amp;E)</t>
  </si>
  <si>
    <t xml:space="preserve">         Total 8954 Repairs &amp; Maintenance - Grounds</t>
  </si>
  <si>
    <t xml:space="preserve">         8957.2 Color Our Garden (H&amp;E)</t>
  </si>
  <si>
    <t xml:space="preserve">         8959 Supplies - Janatorial</t>
  </si>
  <si>
    <t xml:space="preserve">      Total 8933 REPAIRS AND MAINTENANCE</t>
  </si>
  <si>
    <t xml:space="preserve">      8947 Presidents Official Exp</t>
  </si>
  <si>
    <t xml:space="preserve">      8964 Licenses and taxes</t>
  </si>
  <si>
    <t xml:space="preserve">      8965 Telephone/ISP</t>
  </si>
  <si>
    <t xml:space="preserve">      8966 Utilities (H&amp;E)</t>
  </si>
  <si>
    <t xml:space="preserve">      8969 Vice-Presidents Exp</t>
  </si>
  <si>
    <t xml:space="preserve">         8969.1 First VP</t>
  </si>
  <si>
    <t xml:space="preserve">         8969.2 Second VP</t>
  </si>
  <si>
    <t xml:space="preserve">         8969.3 Third VP</t>
  </si>
  <si>
    <t xml:space="preserve">      Total 8969 Vice-Presidents Exp</t>
  </si>
  <si>
    <t xml:space="preserve">      8971 WAYS AND MEANS</t>
  </si>
  <si>
    <t xml:space="preserve">         8951.1 Credit Card Fees</t>
  </si>
  <si>
    <t xml:space="preserve">      Total 8971 WAYS AND MEANS</t>
  </si>
  <si>
    <t xml:space="preserve">      8973 Web Site/ Membership Software</t>
  </si>
  <si>
    <t xml:space="preserve">      8974 Donor NGC &amp; DS Awards</t>
  </si>
  <si>
    <t xml:space="preserve">      8975 NGC &amp; DS Award Preparation</t>
  </si>
  <si>
    <t xml:space="preserve">      8977 FFGC Promotion</t>
  </si>
  <si>
    <t xml:space="preserve">      9100 SALARIES</t>
  </si>
  <si>
    <t xml:space="preserve">         8909 Payroll</t>
  </si>
  <si>
    <t xml:space="preserve">         8963 Payroll Taxes</t>
  </si>
  <si>
    <t xml:space="preserve">      Total 9100 SALARIES</t>
  </si>
  <si>
    <t xml:space="preserve">   Total 8900 OPERATING EXPENSES</t>
  </si>
  <si>
    <t xml:space="preserve">   8957 CONTRIBUTION EXPENSES</t>
  </si>
  <si>
    <t xml:space="preserve">      8914 FFGC Scholarships</t>
  </si>
  <si>
    <t xml:space="preserve">      8957.3 Penny Pines</t>
  </si>
  <si>
    <t xml:space="preserve">   Total 8957 CONTRIBUTION EXPENSES</t>
  </si>
  <si>
    <t xml:space="preserve">   8958 H &amp; E Miscellaneous</t>
  </si>
  <si>
    <t xml:space="preserve">   8974.1 NGC/DS Program Ads</t>
  </si>
  <si>
    <t xml:space="preserve">   9000 SPECIAL PROJECTS EXPENSES</t>
  </si>
  <si>
    <t xml:space="preserve">      9004 Convention Awards</t>
  </si>
  <si>
    <t xml:space="preserve">      9019 SEEK Youth</t>
  </si>
  <si>
    <t xml:space="preserve">      9021 Matching Grants</t>
  </si>
  <si>
    <t xml:space="preserve">   Total 9000 SPECIAL PROJECTS EXPENSES</t>
  </si>
  <si>
    <t>Total Expenditures</t>
  </si>
  <si>
    <t>Net Operating Revenue</t>
  </si>
  <si>
    <t>Net Revenue</t>
  </si>
  <si>
    <t>Monday, Aug 29, 2022 01:45:12 PM GMT-7 - Accrual Basis</t>
  </si>
  <si>
    <t>Florida Federation of Garden Clubs Inc.</t>
  </si>
  <si>
    <t xml:space="preserve">Budget vs. Actuals: FY_2021_2022 - FY22 P&amp;L </t>
  </si>
  <si>
    <t>June 2021 -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</si>
</sst>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5"/>
  <sheetViews>
    <sheetView tabSelected="1" workbookViewId="0">
      <selection activeCell="A6" sqref="A6"/>
    </sheetView>
  </sheetViews>
  <sheetFormatPr defaultRowHeight="14.4" x14ac:dyDescent="0.3"/>
  <cols>
    <col min="1" max="1" width="44.6640625" customWidth="1"/>
    <col min="2" max="5" width="15.44140625" customWidth="1"/>
  </cols>
  <sheetData>
    <row r="1" spans="1:5" ht="17.399999999999999" x14ac:dyDescent="0.3">
      <c r="A1" s="15" t="s">
        <v>231</v>
      </c>
      <c r="B1" s="14"/>
      <c r="C1" s="14"/>
      <c r="D1" s="14"/>
      <c r="E1" s="14"/>
    </row>
    <row r="2" spans="1:5" ht="17.399999999999999" x14ac:dyDescent="0.3">
      <c r="A2" s="15" t="s">
        <v>232</v>
      </c>
      <c r="B2" s="14"/>
      <c r="C2" s="14"/>
      <c r="D2" s="14"/>
      <c r="E2" s="14"/>
    </row>
    <row r="3" spans="1:5" x14ac:dyDescent="0.3">
      <c r="A3" s="16" t="s">
        <v>233</v>
      </c>
      <c r="B3" s="14"/>
      <c r="C3" s="14"/>
      <c r="D3" s="14"/>
      <c r="E3" s="14"/>
    </row>
    <row r="5" spans="1:5" x14ac:dyDescent="0.3">
      <c r="A5" s="1"/>
      <c r="B5" s="11" t="s">
        <v>0</v>
      </c>
      <c r="C5" s="12"/>
      <c r="D5" s="12"/>
      <c r="E5" s="12"/>
    </row>
    <row r="6" spans="1:5" x14ac:dyDescent="0.3">
      <c r="A6" s="1"/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3">
      <c r="A7" s="3" t="s">
        <v>5</v>
      </c>
      <c r="B7" s="4"/>
      <c r="C7" s="4"/>
      <c r="D7" s="4"/>
      <c r="E7" s="4"/>
    </row>
    <row r="8" spans="1:5" x14ac:dyDescent="0.3">
      <c r="A8" s="3" t="s">
        <v>6</v>
      </c>
      <c r="B8" s="5">
        <f>4811.38</f>
        <v>4811.38</v>
      </c>
      <c r="C8" s="4"/>
      <c r="D8" s="5">
        <f t="shared" ref="D8:D39" si="0">(B8)-(C8)</f>
        <v>4811.38</v>
      </c>
      <c r="E8" s="6" t="str">
        <f t="shared" ref="E8:E39" si="1">IF(C8=0,"",(B8)/(C8))</f>
        <v/>
      </c>
    </row>
    <row r="9" spans="1:5" x14ac:dyDescent="0.3">
      <c r="A9" s="3" t="s">
        <v>7</v>
      </c>
      <c r="B9" s="5">
        <f>50</f>
        <v>50</v>
      </c>
      <c r="C9" s="4"/>
      <c r="D9" s="5">
        <f t="shared" si="0"/>
        <v>50</v>
      </c>
      <c r="E9" s="6" t="str">
        <f t="shared" si="1"/>
        <v/>
      </c>
    </row>
    <row r="10" spans="1:5" x14ac:dyDescent="0.3">
      <c r="A10" s="3" t="s">
        <v>8</v>
      </c>
      <c r="B10" s="7">
        <f>(B8)+(B9)</f>
        <v>4861.38</v>
      </c>
      <c r="C10" s="7">
        <f>(C8)+(C9)</f>
        <v>0</v>
      </c>
      <c r="D10" s="7">
        <f t="shared" si="0"/>
        <v>4861.38</v>
      </c>
      <c r="E10" s="8" t="str">
        <f t="shared" si="1"/>
        <v/>
      </c>
    </row>
    <row r="11" spans="1:5" x14ac:dyDescent="0.3">
      <c r="A11" s="3" t="s">
        <v>9</v>
      </c>
      <c r="B11" s="4"/>
      <c r="C11" s="4"/>
      <c r="D11" s="5">
        <f t="shared" si="0"/>
        <v>0</v>
      </c>
      <c r="E11" s="6" t="str">
        <f t="shared" si="1"/>
        <v/>
      </c>
    </row>
    <row r="12" spans="1:5" x14ac:dyDescent="0.3">
      <c r="A12" s="3" t="s">
        <v>10</v>
      </c>
      <c r="B12" s="5">
        <f>101469</f>
        <v>101469</v>
      </c>
      <c r="C12" s="5">
        <f>111000</f>
        <v>111000</v>
      </c>
      <c r="D12" s="5">
        <f t="shared" si="0"/>
        <v>-9531</v>
      </c>
      <c r="E12" s="6">
        <f t="shared" si="1"/>
        <v>0.91413513513513511</v>
      </c>
    </row>
    <row r="13" spans="1:5" x14ac:dyDescent="0.3">
      <c r="A13" s="3" t="s">
        <v>11</v>
      </c>
      <c r="B13" s="5">
        <f>10535</f>
        <v>10535</v>
      </c>
      <c r="C13" s="5">
        <f>5000</f>
        <v>5000</v>
      </c>
      <c r="D13" s="5">
        <f t="shared" si="0"/>
        <v>5535</v>
      </c>
      <c r="E13" s="6">
        <f t="shared" si="1"/>
        <v>2.1070000000000002</v>
      </c>
    </row>
    <row r="14" spans="1:5" x14ac:dyDescent="0.3">
      <c r="A14" s="3" t="s">
        <v>12</v>
      </c>
      <c r="B14" s="5">
        <f>150</f>
        <v>150</v>
      </c>
      <c r="C14" s="5">
        <f>300</f>
        <v>300</v>
      </c>
      <c r="D14" s="5">
        <f t="shared" si="0"/>
        <v>-150</v>
      </c>
      <c r="E14" s="6">
        <f t="shared" si="1"/>
        <v>0.5</v>
      </c>
    </row>
    <row r="15" spans="1:5" x14ac:dyDescent="0.3">
      <c r="A15" s="3" t="s">
        <v>13</v>
      </c>
      <c r="B15" s="5">
        <f>4500</f>
        <v>4500</v>
      </c>
      <c r="C15" s="5">
        <f>3000</f>
        <v>3000</v>
      </c>
      <c r="D15" s="5">
        <f t="shared" si="0"/>
        <v>1500</v>
      </c>
      <c r="E15" s="6">
        <f t="shared" si="1"/>
        <v>1.5</v>
      </c>
    </row>
    <row r="16" spans="1:5" x14ac:dyDescent="0.3">
      <c r="A16" s="3" t="s">
        <v>14</v>
      </c>
      <c r="B16" s="5">
        <f>329.27</f>
        <v>329.27</v>
      </c>
      <c r="C16" s="4"/>
      <c r="D16" s="5">
        <f t="shared" si="0"/>
        <v>329.27</v>
      </c>
      <c r="E16" s="6" t="str">
        <f t="shared" si="1"/>
        <v/>
      </c>
    </row>
    <row r="17" spans="1:5" x14ac:dyDescent="0.3">
      <c r="A17" s="3" t="s">
        <v>15</v>
      </c>
      <c r="B17" s="4"/>
      <c r="C17" s="4"/>
      <c r="D17" s="5">
        <f t="shared" si="0"/>
        <v>0</v>
      </c>
      <c r="E17" s="6" t="str">
        <f t="shared" si="1"/>
        <v/>
      </c>
    </row>
    <row r="18" spans="1:5" x14ac:dyDescent="0.3">
      <c r="A18" s="3" t="s">
        <v>16</v>
      </c>
      <c r="B18" s="5">
        <f>200</f>
        <v>200</v>
      </c>
      <c r="C18" s="4"/>
      <c r="D18" s="5">
        <f t="shared" si="0"/>
        <v>200</v>
      </c>
      <c r="E18" s="6" t="str">
        <f t="shared" si="1"/>
        <v/>
      </c>
    </row>
    <row r="19" spans="1:5" x14ac:dyDescent="0.3">
      <c r="A19" s="3" t="s">
        <v>17</v>
      </c>
      <c r="B19" s="5">
        <f>49924.56</f>
        <v>49924.56</v>
      </c>
      <c r="C19" s="5">
        <f>30000</f>
        <v>30000</v>
      </c>
      <c r="D19" s="5">
        <f t="shared" si="0"/>
        <v>19924.559999999998</v>
      </c>
      <c r="E19" s="6">
        <f t="shared" si="1"/>
        <v>1.6641519999999999</v>
      </c>
    </row>
    <row r="20" spans="1:5" x14ac:dyDescent="0.3">
      <c r="A20" s="3" t="s">
        <v>18</v>
      </c>
      <c r="B20" s="7">
        <f>((B17)+(B18))+(B19)</f>
        <v>50124.56</v>
      </c>
      <c r="C20" s="7">
        <f>((C17)+(C18))+(C19)</f>
        <v>30000</v>
      </c>
      <c r="D20" s="7">
        <f t="shared" si="0"/>
        <v>20124.559999999998</v>
      </c>
      <c r="E20" s="8">
        <f t="shared" si="1"/>
        <v>1.6708186666666667</v>
      </c>
    </row>
    <row r="21" spans="1:5" x14ac:dyDescent="0.3">
      <c r="A21" s="3" t="s">
        <v>19</v>
      </c>
      <c r="B21" s="7">
        <f>((((((B11)+(B12))+(B13))+(B14))+(B15))+(B16))+(B20)</f>
        <v>167107.83000000002</v>
      </c>
      <c r="C21" s="7">
        <f>((((((C11)+(C12))+(C13))+(C14))+(C15))+(C16))+(C20)</f>
        <v>149300</v>
      </c>
      <c r="D21" s="7">
        <f t="shared" si="0"/>
        <v>17807.830000000016</v>
      </c>
      <c r="E21" s="8">
        <f t="shared" si="1"/>
        <v>1.1192754855994642</v>
      </c>
    </row>
    <row r="22" spans="1:5" x14ac:dyDescent="0.3">
      <c r="A22" s="3" t="s">
        <v>20</v>
      </c>
      <c r="B22" s="5">
        <f>5000</f>
        <v>5000</v>
      </c>
      <c r="C22" s="4"/>
      <c r="D22" s="5">
        <f t="shared" si="0"/>
        <v>5000</v>
      </c>
      <c r="E22" s="6" t="str">
        <f t="shared" si="1"/>
        <v/>
      </c>
    </row>
    <row r="23" spans="1:5" x14ac:dyDescent="0.3">
      <c r="A23" s="3" t="s">
        <v>21</v>
      </c>
      <c r="B23" s="4"/>
      <c r="C23" s="4"/>
      <c r="D23" s="5">
        <f t="shared" si="0"/>
        <v>0</v>
      </c>
      <c r="E23" s="6" t="str">
        <f t="shared" si="1"/>
        <v/>
      </c>
    </row>
    <row r="24" spans="1:5" x14ac:dyDescent="0.3">
      <c r="A24" s="3" t="s">
        <v>22</v>
      </c>
      <c r="B24" s="5">
        <f>0</f>
        <v>0</v>
      </c>
      <c r="C24" s="5">
        <f>1000</f>
        <v>1000</v>
      </c>
      <c r="D24" s="5">
        <f t="shared" si="0"/>
        <v>-1000</v>
      </c>
      <c r="E24" s="6">
        <f t="shared" si="1"/>
        <v>0</v>
      </c>
    </row>
    <row r="25" spans="1:5" x14ac:dyDescent="0.3">
      <c r="A25" s="3" t="s">
        <v>23</v>
      </c>
      <c r="B25" s="5">
        <f>1532.67</f>
        <v>1532.67</v>
      </c>
      <c r="C25" s="5">
        <f>500</f>
        <v>500</v>
      </c>
      <c r="D25" s="5">
        <f t="shared" si="0"/>
        <v>1032.67</v>
      </c>
      <c r="E25" s="6">
        <f t="shared" si="1"/>
        <v>3.06534</v>
      </c>
    </row>
    <row r="26" spans="1:5" x14ac:dyDescent="0.3">
      <c r="A26" s="3" t="s">
        <v>24</v>
      </c>
      <c r="B26" s="4"/>
      <c r="C26" s="5">
        <f>500</f>
        <v>500</v>
      </c>
      <c r="D26" s="5">
        <f t="shared" si="0"/>
        <v>-500</v>
      </c>
      <c r="E26" s="6">
        <f t="shared" si="1"/>
        <v>0</v>
      </c>
    </row>
    <row r="27" spans="1:5" x14ac:dyDescent="0.3">
      <c r="A27" s="3" t="s">
        <v>25</v>
      </c>
      <c r="B27" s="5">
        <f>1475</f>
        <v>1475</v>
      </c>
      <c r="C27" s="4"/>
      <c r="D27" s="5">
        <f t="shared" si="0"/>
        <v>1475</v>
      </c>
      <c r="E27" s="6" t="str">
        <f t="shared" si="1"/>
        <v/>
      </c>
    </row>
    <row r="28" spans="1:5" x14ac:dyDescent="0.3">
      <c r="A28" s="3" t="s">
        <v>26</v>
      </c>
      <c r="B28" s="5">
        <f>89174.75</f>
        <v>89174.75</v>
      </c>
      <c r="C28" s="5">
        <f>107000</f>
        <v>107000</v>
      </c>
      <c r="D28" s="5">
        <f t="shared" si="0"/>
        <v>-17825.25</v>
      </c>
      <c r="E28" s="6">
        <f t="shared" si="1"/>
        <v>0.83340887850467293</v>
      </c>
    </row>
    <row r="29" spans="1:5" x14ac:dyDescent="0.3">
      <c r="A29" s="3" t="s">
        <v>27</v>
      </c>
      <c r="B29" s="5">
        <f>1855.19</f>
        <v>1855.19</v>
      </c>
      <c r="C29" s="5">
        <f>1000</f>
        <v>1000</v>
      </c>
      <c r="D29" s="5">
        <f t="shared" si="0"/>
        <v>855.19</v>
      </c>
      <c r="E29" s="6">
        <f t="shared" si="1"/>
        <v>1.8551900000000001</v>
      </c>
    </row>
    <row r="30" spans="1:5" x14ac:dyDescent="0.3">
      <c r="A30" s="3" t="s">
        <v>28</v>
      </c>
      <c r="B30" s="5">
        <f>837.43</f>
        <v>837.43</v>
      </c>
      <c r="C30" s="5">
        <f>1000</f>
        <v>1000</v>
      </c>
      <c r="D30" s="5">
        <f t="shared" si="0"/>
        <v>-162.57000000000005</v>
      </c>
      <c r="E30" s="6">
        <f t="shared" si="1"/>
        <v>0.8374299999999999</v>
      </c>
    </row>
    <row r="31" spans="1:5" x14ac:dyDescent="0.3">
      <c r="A31" s="3" t="s">
        <v>29</v>
      </c>
      <c r="B31" s="5">
        <f>375</f>
        <v>375</v>
      </c>
      <c r="C31" s="5">
        <f>200</f>
        <v>200</v>
      </c>
      <c r="D31" s="5">
        <f t="shared" si="0"/>
        <v>175</v>
      </c>
      <c r="E31" s="6">
        <f t="shared" si="1"/>
        <v>1.875</v>
      </c>
    </row>
    <row r="32" spans="1:5" x14ac:dyDescent="0.3">
      <c r="A32" s="3" t="s">
        <v>30</v>
      </c>
      <c r="B32" s="5">
        <f>3190</f>
        <v>3190</v>
      </c>
      <c r="C32" s="5">
        <f>5000</f>
        <v>5000</v>
      </c>
      <c r="D32" s="5">
        <f t="shared" si="0"/>
        <v>-1810</v>
      </c>
      <c r="E32" s="6">
        <f t="shared" si="1"/>
        <v>0.63800000000000001</v>
      </c>
    </row>
    <row r="33" spans="1:5" x14ac:dyDescent="0.3">
      <c r="A33" s="3" t="s">
        <v>31</v>
      </c>
      <c r="B33" s="7">
        <f>(((((((((B23)+(B24))+(B25))+(B26))+(B27))+(B28))+(B29))+(B30))+(B31))+(B32)</f>
        <v>98440.04</v>
      </c>
      <c r="C33" s="7">
        <f>(((((((((C23)+(C24))+(C25))+(C26))+(C27))+(C28))+(C29))+(C30))+(C31))+(C32)</f>
        <v>116200</v>
      </c>
      <c r="D33" s="7">
        <f t="shared" si="0"/>
        <v>-17759.960000000006</v>
      </c>
      <c r="E33" s="8">
        <f t="shared" si="1"/>
        <v>0.84716041308089496</v>
      </c>
    </row>
    <row r="34" spans="1:5" x14ac:dyDescent="0.3">
      <c r="A34" s="3" t="s">
        <v>32</v>
      </c>
      <c r="B34" s="4"/>
      <c r="C34" s="4"/>
      <c r="D34" s="5">
        <f t="shared" si="0"/>
        <v>0</v>
      </c>
      <c r="E34" s="6" t="str">
        <f t="shared" si="1"/>
        <v/>
      </c>
    </row>
    <row r="35" spans="1:5" x14ac:dyDescent="0.3">
      <c r="A35" s="3" t="s">
        <v>33</v>
      </c>
      <c r="B35" s="4"/>
      <c r="C35" s="4"/>
      <c r="D35" s="5">
        <f t="shared" si="0"/>
        <v>0</v>
      </c>
      <c r="E35" s="6" t="str">
        <f t="shared" si="1"/>
        <v/>
      </c>
    </row>
    <row r="36" spans="1:5" x14ac:dyDescent="0.3">
      <c r="A36" s="3" t="s">
        <v>34</v>
      </c>
      <c r="B36" s="5">
        <f>32</f>
        <v>32</v>
      </c>
      <c r="C36" s="4"/>
      <c r="D36" s="5">
        <f t="shared" si="0"/>
        <v>32</v>
      </c>
      <c r="E36" s="6" t="str">
        <f t="shared" si="1"/>
        <v/>
      </c>
    </row>
    <row r="37" spans="1:5" x14ac:dyDescent="0.3">
      <c r="A37" s="3" t="s">
        <v>35</v>
      </c>
      <c r="B37" s="5">
        <f>20.9</f>
        <v>20.9</v>
      </c>
      <c r="C37" s="4"/>
      <c r="D37" s="5">
        <f t="shared" si="0"/>
        <v>20.9</v>
      </c>
      <c r="E37" s="6" t="str">
        <f t="shared" si="1"/>
        <v/>
      </c>
    </row>
    <row r="38" spans="1:5" x14ac:dyDescent="0.3">
      <c r="A38" s="3" t="s">
        <v>36</v>
      </c>
      <c r="B38" s="7">
        <f>((B35)+(B36))+(B37)</f>
        <v>52.9</v>
      </c>
      <c r="C38" s="7">
        <f>((C35)+(C36))+(C37)</f>
        <v>0</v>
      </c>
      <c r="D38" s="7">
        <f t="shared" si="0"/>
        <v>52.9</v>
      </c>
      <c r="E38" s="8" t="str">
        <f t="shared" si="1"/>
        <v/>
      </c>
    </row>
    <row r="39" spans="1:5" x14ac:dyDescent="0.3">
      <c r="A39" s="3" t="s">
        <v>37</v>
      </c>
      <c r="B39" s="5">
        <f>162.97</f>
        <v>162.97</v>
      </c>
      <c r="C39" s="5">
        <f>1000</f>
        <v>1000</v>
      </c>
      <c r="D39" s="5">
        <f t="shared" si="0"/>
        <v>-837.03</v>
      </c>
      <c r="E39" s="6">
        <f t="shared" si="1"/>
        <v>0.16297</v>
      </c>
    </row>
    <row r="40" spans="1:5" x14ac:dyDescent="0.3">
      <c r="A40" s="3" t="s">
        <v>38</v>
      </c>
      <c r="B40" s="5">
        <f>618.29</f>
        <v>618.29</v>
      </c>
      <c r="C40" s="4"/>
      <c r="D40" s="5">
        <f t="shared" ref="D40:D71" si="2">(B40)-(C40)</f>
        <v>618.29</v>
      </c>
      <c r="E40" s="6" t="str">
        <f t="shared" ref="E40:E71" si="3">IF(C40=0,"",(B40)/(C40))</f>
        <v/>
      </c>
    </row>
    <row r="41" spans="1:5" x14ac:dyDescent="0.3">
      <c r="A41" s="3" t="s">
        <v>39</v>
      </c>
      <c r="B41" s="7">
        <f>(B39)+(B40)</f>
        <v>781.26</v>
      </c>
      <c r="C41" s="7">
        <f>(C39)+(C40)</f>
        <v>1000</v>
      </c>
      <c r="D41" s="7">
        <f t="shared" si="2"/>
        <v>-218.74</v>
      </c>
      <c r="E41" s="8">
        <f t="shared" si="3"/>
        <v>0.78125999999999995</v>
      </c>
    </row>
    <row r="42" spans="1:5" x14ac:dyDescent="0.3">
      <c r="A42" s="3" t="s">
        <v>40</v>
      </c>
      <c r="B42" s="7">
        <f>((B34)+(B38))+(B41)</f>
        <v>834.16</v>
      </c>
      <c r="C42" s="7">
        <f>((C34)+(C38))+(C41)</f>
        <v>1000</v>
      </c>
      <c r="D42" s="7">
        <f t="shared" si="2"/>
        <v>-165.84000000000003</v>
      </c>
      <c r="E42" s="8">
        <f t="shared" si="3"/>
        <v>0.83416000000000001</v>
      </c>
    </row>
    <row r="43" spans="1:5" x14ac:dyDescent="0.3">
      <c r="A43" s="3" t="s">
        <v>41</v>
      </c>
      <c r="B43" s="4"/>
      <c r="C43" s="4"/>
      <c r="D43" s="5">
        <f t="shared" si="2"/>
        <v>0</v>
      </c>
      <c r="E43" s="6" t="str">
        <f t="shared" si="3"/>
        <v/>
      </c>
    </row>
    <row r="44" spans="1:5" x14ac:dyDescent="0.3">
      <c r="A44" s="3" t="s">
        <v>42</v>
      </c>
      <c r="B44" s="5">
        <f>100.18</f>
        <v>100.18</v>
      </c>
      <c r="C44" s="5">
        <f>60</f>
        <v>60</v>
      </c>
      <c r="D44" s="5">
        <f t="shared" si="2"/>
        <v>40.180000000000007</v>
      </c>
      <c r="E44" s="6">
        <f t="shared" si="3"/>
        <v>1.6696666666666669</v>
      </c>
    </row>
    <row r="45" spans="1:5" x14ac:dyDescent="0.3">
      <c r="A45" s="3" t="s">
        <v>43</v>
      </c>
      <c r="B45" s="5">
        <f>19.77</f>
        <v>19.77</v>
      </c>
      <c r="C45" s="4"/>
      <c r="D45" s="5">
        <f t="shared" si="2"/>
        <v>19.77</v>
      </c>
      <c r="E45" s="6" t="str">
        <f t="shared" si="3"/>
        <v/>
      </c>
    </row>
    <row r="46" spans="1:5" x14ac:dyDescent="0.3">
      <c r="A46" s="3" t="s">
        <v>44</v>
      </c>
      <c r="B46" s="5">
        <f>21.46</f>
        <v>21.46</v>
      </c>
      <c r="C46" s="4"/>
      <c r="D46" s="5">
        <f t="shared" si="2"/>
        <v>21.46</v>
      </c>
      <c r="E46" s="6" t="str">
        <f t="shared" si="3"/>
        <v/>
      </c>
    </row>
    <row r="47" spans="1:5" x14ac:dyDescent="0.3">
      <c r="A47" s="3" t="s">
        <v>45</v>
      </c>
      <c r="B47" s="5">
        <f>21.67</f>
        <v>21.67</v>
      </c>
      <c r="C47" s="5">
        <f>60</f>
        <v>60</v>
      </c>
      <c r="D47" s="5">
        <f t="shared" si="2"/>
        <v>-38.33</v>
      </c>
      <c r="E47" s="6">
        <f t="shared" si="3"/>
        <v>0.36116666666666669</v>
      </c>
    </row>
    <row r="48" spans="1:5" x14ac:dyDescent="0.3">
      <c r="A48" s="3" t="s">
        <v>46</v>
      </c>
      <c r="B48" s="5">
        <f>1237.2</f>
        <v>1237.2</v>
      </c>
      <c r="C48" s="4"/>
      <c r="D48" s="5">
        <f t="shared" si="2"/>
        <v>1237.2</v>
      </c>
      <c r="E48" s="6" t="str">
        <f t="shared" si="3"/>
        <v/>
      </c>
    </row>
    <row r="49" spans="1:5" x14ac:dyDescent="0.3">
      <c r="A49" s="3" t="s">
        <v>47</v>
      </c>
      <c r="B49" s="7">
        <f>(((((B43)+(B44))+(B45))+(B46))+(B47))+(B48)</f>
        <v>1400.28</v>
      </c>
      <c r="C49" s="7">
        <f>(((((C43)+(C44))+(C45))+(C46))+(C47))+(C48)</f>
        <v>120</v>
      </c>
      <c r="D49" s="7">
        <f t="shared" si="2"/>
        <v>1280.28</v>
      </c>
      <c r="E49" s="8">
        <f t="shared" si="3"/>
        <v>11.669</v>
      </c>
    </row>
    <row r="50" spans="1:5" x14ac:dyDescent="0.3">
      <c r="A50" s="3" t="s">
        <v>48</v>
      </c>
      <c r="B50" s="5">
        <f>8929.54</f>
        <v>8929.5400000000009</v>
      </c>
      <c r="C50" s="4"/>
      <c r="D50" s="5">
        <f t="shared" si="2"/>
        <v>8929.5400000000009</v>
      </c>
      <c r="E50" s="6" t="str">
        <f t="shared" si="3"/>
        <v/>
      </c>
    </row>
    <row r="51" spans="1:5" x14ac:dyDescent="0.3">
      <c r="A51" s="3" t="s">
        <v>49</v>
      </c>
      <c r="B51" s="5">
        <f>339.87</f>
        <v>339.87</v>
      </c>
      <c r="C51" s="4"/>
      <c r="D51" s="5">
        <f t="shared" si="2"/>
        <v>339.87</v>
      </c>
      <c r="E51" s="6" t="str">
        <f t="shared" si="3"/>
        <v/>
      </c>
    </row>
    <row r="52" spans="1:5" x14ac:dyDescent="0.3">
      <c r="A52" s="3" t="s">
        <v>50</v>
      </c>
      <c r="B52" s="5">
        <f>1200.2</f>
        <v>1200.2</v>
      </c>
      <c r="C52" s="5">
        <f>1500</f>
        <v>1500</v>
      </c>
      <c r="D52" s="5">
        <f t="shared" si="2"/>
        <v>-299.79999999999995</v>
      </c>
      <c r="E52" s="6">
        <f t="shared" si="3"/>
        <v>0.80013333333333336</v>
      </c>
    </row>
    <row r="53" spans="1:5" x14ac:dyDescent="0.3">
      <c r="A53" s="3" t="s">
        <v>51</v>
      </c>
      <c r="B53" s="5">
        <f>33.1</f>
        <v>33.1</v>
      </c>
      <c r="C53" s="5">
        <f>2000</f>
        <v>2000</v>
      </c>
      <c r="D53" s="5">
        <f t="shared" si="2"/>
        <v>-1966.9</v>
      </c>
      <c r="E53" s="6">
        <f t="shared" si="3"/>
        <v>1.6550000000000002E-2</v>
      </c>
    </row>
    <row r="54" spans="1:5" x14ac:dyDescent="0.3">
      <c r="A54" s="3" t="s">
        <v>52</v>
      </c>
      <c r="B54" s="5">
        <f>1676</f>
        <v>1676</v>
      </c>
      <c r="C54" s="4"/>
      <c r="D54" s="5">
        <f t="shared" si="2"/>
        <v>1676</v>
      </c>
      <c r="E54" s="6" t="str">
        <f t="shared" si="3"/>
        <v/>
      </c>
    </row>
    <row r="55" spans="1:5" x14ac:dyDescent="0.3">
      <c r="A55" s="3" t="s">
        <v>53</v>
      </c>
      <c r="B55" s="7">
        <f>(B53)+(B54)</f>
        <v>1709.1</v>
      </c>
      <c r="C55" s="7">
        <f>(C53)+(C54)</f>
        <v>2000</v>
      </c>
      <c r="D55" s="7">
        <f t="shared" si="2"/>
        <v>-290.90000000000009</v>
      </c>
      <c r="E55" s="8">
        <f t="shared" si="3"/>
        <v>0.85454999999999992</v>
      </c>
    </row>
    <row r="56" spans="1:5" x14ac:dyDescent="0.3">
      <c r="A56" s="3" t="s">
        <v>54</v>
      </c>
      <c r="B56" s="5">
        <f>75.12</f>
        <v>75.12</v>
      </c>
      <c r="C56" s="4"/>
      <c r="D56" s="5">
        <f t="shared" si="2"/>
        <v>75.12</v>
      </c>
      <c r="E56" s="6" t="str">
        <f t="shared" si="3"/>
        <v/>
      </c>
    </row>
    <row r="57" spans="1:5" x14ac:dyDescent="0.3">
      <c r="A57" s="3" t="s">
        <v>55</v>
      </c>
      <c r="B57" s="7">
        <f>((((B50)+(B51))+(B52))+(B55))+(B56)</f>
        <v>12253.830000000004</v>
      </c>
      <c r="C57" s="7">
        <f>((((C50)+(C51))+(C52))+(C55))+(C56)</f>
        <v>3500</v>
      </c>
      <c r="D57" s="7">
        <f t="shared" si="2"/>
        <v>8753.8300000000036</v>
      </c>
      <c r="E57" s="8">
        <f t="shared" si="3"/>
        <v>3.5010942857142866</v>
      </c>
    </row>
    <row r="58" spans="1:5" x14ac:dyDescent="0.3">
      <c r="A58" s="3" t="s">
        <v>56</v>
      </c>
      <c r="B58" s="4"/>
      <c r="C58" s="4"/>
      <c r="D58" s="5">
        <f t="shared" si="2"/>
        <v>0</v>
      </c>
      <c r="E58" s="6" t="str">
        <f t="shared" si="3"/>
        <v/>
      </c>
    </row>
    <row r="59" spans="1:5" x14ac:dyDescent="0.3">
      <c r="A59" s="3" t="s">
        <v>57</v>
      </c>
      <c r="B59" s="5">
        <f>3200</f>
        <v>3200</v>
      </c>
      <c r="C59" s="5">
        <f>3200</f>
        <v>3200</v>
      </c>
      <c r="D59" s="5">
        <f t="shared" si="2"/>
        <v>0</v>
      </c>
      <c r="E59" s="6">
        <f t="shared" si="3"/>
        <v>1</v>
      </c>
    </row>
    <row r="60" spans="1:5" x14ac:dyDescent="0.3">
      <c r="A60" s="3" t="s">
        <v>58</v>
      </c>
      <c r="B60" s="5">
        <f>1824.5</f>
        <v>1824.5</v>
      </c>
      <c r="C60" s="5">
        <f>12000</f>
        <v>12000</v>
      </c>
      <c r="D60" s="5">
        <f t="shared" si="2"/>
        <v>-10175.5</v>
      </c>
      <c r="E60" s="6">
        <f t="shared" si="3"/>
        <v>0.15204166666666666</v>
      </c>
    </row>
    <row r="61" spans="1:5" x14ac:dyDescent="0.3">
      <c r="A61" s="3" t="s">
        <v>59</v>
      </c>
      <c r="B61" s="5">
        <f>12596.14</f>
        <v>12596.14</v>
      </c>
      <c r="C61" s="5">
        <f>10000</f>
        <v>10000</v>
      </c>
      <c r="D61" s="5">
        <f t="shared" si="2"/>
        <v>2596.1399999999994</v>
      </c>
      <c r="E61" s="6">
        <f t="shared" si="3"/>
        <v>1.259614</v>
      </c>
    </row>
    <row r="62" spans="1:5" x14ac:dyDescent="0.3">
      <c r="A62" s="3" t="s">
        <v>60</v>
      </c>
      <c r="B62" s="5">
        <f>2075</f>
        <v>2075</v>
      </c>
      <c r="C62" s="4"/>
      <c r="D62" s="5">
        <f t="shared" si="2"/>
        <v>2075</v>
      </c>
      <c r="E62" s="6" t="str">
        <f t="shared" si="3"/>
        <v/>
      </c>
    </row>
    <row r="63" spans="1:5" x14ac:dyDescent="0.3">
      <c r="A63" s="3" t="s">
        <v>61</v>
      </c>
      <c r="B63" s="5">
        <f>650</f>
        <v>650</v>
      </c>
      <c r="C63" s="4"/>
      <c r="D63" s="5">
        <f t="shared" si="2"/>
        <v>650</v>
      </c>
      <c r="E63" s="6" t="str">
        <f t="shared" si="3"/>
        <v/>
      </c>
    </row>
    <row r="64" spans="1:5" x14ac:dyDescent="0.3">
      <c r="A64" s="3" t="s">
        <v>62</v>
      </c>
      <c r="B64" s="5">
        <f>75</f>
        <v>75</v>
      </c>
      <c r="C64" s="4"/>
      <c r="D64" s="5">
        <f t="shared" si="2"/>
        <v>75</v>
      </c>
      <c r="E64" s="6" t="str">
        <f t="shared" si="3"/>
        <v/>
      </c>
    </row>
    <row r="65" spans="1:5" x14ac:dyDescent="0.3">
      <c r="A65" s="3" t="s">
        <v>63</v>
      </c>
      <c r="B65" s="7">
        <f>(((B61)+(B62))+(B63))+(B64)</f>
        <v>15396.14</v>
      </c>
      <c r="C65" s="7">
        <f>(((C61)+(C62))+(C63))+(C64)</f>
        <v>10000</v>
      </c>
      <c r="D65" s="7">
        <f t="shared" si="2"/>
        <v>5396.1399999999994</v>
      </c>
      <c r="E65" s="8">
        <f t="shared" si="3"/>
        <v>1.539614</v>
      </c>
    </row>
    <row r="66" spans="1:5" x14ac:dyDescent="0.3">
      <c r="A66" s="3" t="s">
        <v>64</v>
      </c>
      <c r="B66" s="5">
        <f>250</f>
        <v>250</v>
      </c>
      <c r="C66" s="5">
        <f>5000</f>
        <v>5000</v>
      </c>
      <c r="D66" s="5">
        <f t="shared" si="2"/>
        <v>-4750</v>
      </c>
      <c r="E66" s="6">
        <f t="shared" si="3"/>
        <v>0.05</v>
      </c>
    </row>
    <row r="67" spans="1:5" x14ac:dyDescent="0.3">
      <c r="A67" s="3" t="s">
        <v>65</v>
      </c>
      <c r="B67" s="5">
        <f>10.36</f>
        <v>10.36</v>
      </c>
      <c r="C67" s="5">
        <f>100</f>
        <v>100</v>
      </c>
      <c r="D67" s="5">
        <f t="shared" si="2"/>
        <v>-89.64</v>
      </c>
      <c r="E67" s="6">
        <f t="shared" si="3"/>
        <v>0.1036</v>
      </c>
    </row>
    <row r="68" spans="1:5" x14ac:dyDescent="0.3">
      <c r="A68" s="3" t="s">
        <v>66</v>
      </c>
      <c r="B68" s="5">
        <f>12.65</f>
        <v>12.65</v>
      </c>
      <c r="C68" s="4"/>
      <c r="D68" s="5">
        <f t="shared" si="2"/>
        <v>12.65</v>
      </c>
      <c r="E68" s="6" t="str">
        <f t="shared" si="3"/>
        <v/>
      </c>
    </row>
    <row r="69" spans="1:5" x14ac:dyDescent="0.3">
      <c r="A69" s="3" t="s">
        <v>67</v>
      </c>
      <c r="B69" s="5">
        <f>2175</f>
        <v>2175</v>
      </c>
      <c r="C69" s="4"/>
      <c r="D69" s="5">
        <f t="shared" si="2"/>
        <v>2175</v>
      </c>
      <c r="E69" s="6" t="str">
        <f t="shared" si="3"/>
        <v/>
      </c>
    </row>
    <row r="70" spans="1:5" x14ac:dyDescent="0.3">
      <c r="A70" s="3" t="s">
        <v>68</v>
      </c>
      <c r="B70" s="4"/>
      <c r="C70" s="5">
        <f>50</f>
        <v>50</v>
      </c>
      <c r="D70" s="5">
        <f t="shared" si="2"/>
        <v>-50</v>
      </c>
      <c r="E70" s="6">
        <f t="shared" si="3"/>
        <v>0</v>
      </c>
    </row>
    <row r="71" spans="1:5" x14ac:dyDescent="0.3">
      <c r="A71" s="3" t="s">
        <v>69</v>
      </c>
      <c r="B71" s="4"/>
      <c r="C71" s="5">
        <f>150000</f>
        <v>150000</v>
      </c>
      <c r="D71" s="5">
        <f t="shared" si="2"/>
        <v>-150000</v>
      </c>
      <c r="E71" s="6">
        <f t="shared" si="3"/>
        <v>0</v>
      </c>
    </row>
    <row r="72" spans="1:5" x14ac:dyDescent="0.3">
      <c r="A72" s="3" t="s">
        <v>70</v>
      </c>
      <c r="B72" s="5">
        <f>24140</f>
        <v>24140</v>
      </c>
      <c r="C72" s="4"/>
      <c r="D72" s="5">
        <f t="shared" ref="D72:D98" si="4">(B72)-(C72)</f>
        <v>24140</v>
      </c>
      <c r="E72" s="6" t="str">
        <f t="shared" ref="E72:E98" si="5">IF(C72=0,"",(B72)/(C72))</f>
        <v/>
      </c>
    </row>
    <row r="73" spans="1:5" x14ac:dyDescent="0.3">
      <c r="A73" s="3" t="s">
        <v>71</v>
      </c>
      <c r="B73" s="5">
        <f>98890</f>
        <v>98890</v>
      </c>
      <c r="C73" s="4"/>
      <c r="D73" s="5">
        <f t="shared" si="4"/>
        <v>98890</v>
      </c>
      <c r="E73" s="6" t="str">
        <f t="shared" si="5"/>
        <v/>
      </c>
    </row>
    <row r="74" spans="1:5" x14ac:dyDescent="0.3">
      <c r="A74" s="3" t="s">
        <v>72</v>
      </c>
      <c r="B74" s="7">
        <f>((B71)+(B72))+(B73)</f>
        <v>123030</v>
      </c>
      <c r="C74" s="7">
        <f>((C71)+(C72))+(C73)</f>
        <v>150000</v>
      </c>
      <c r="D74" s="7">
        <f t="shared" si="4"/>
        <v>-26970</v>
      </c>
      <c r="E74" s="8">
        <f t="shared" si="5"/>
        <v>0.82020000000000004</v>
      </c>
    </row>
    <row r="75" spans="1:5" x14ac:dyDescent="0.3">
      <c r="A75" s="3" t="s">
        <v>73</v>
      </c>
      <c r="B75" s="5">
        <f>9500</f>
        <v>9500</v>
      </c>
      <c r="C75" s="5">
        <f>10500</f>
        <v>10500</v>
      </c>
      <c r="D75" s="5">
        <f t="shared" si="4"/>
        <v>-1000</v>
      </c>
      <c r="E75" s="6">
        <f t="shared" si="5"/>
        <v>0.90476190476190477</v>
      </c>
    </row>
    <row r="76" spans="1:5" x14ac:dyDescent="0.3">
      <c r="A76" s="3" t="s">
        <v>74</v>
      </c>
      <c r="B76" s="5">
        <f>3300.23</f>
        <v>3300.23</v>
      </c>
      <c r="C76" s="5">
        <f>2800</f>
        <v>2800</v>
      </c>
      <c r="D76" s="5">
        <f t="shared" si="4"/>
        <v>500.23</v>
      </c>
      <c r="E76" s="6">
        <f t="shared" si="5"/>
        <v>1.1786535714285715</v>
      </c>
    </row>
    <row r="77" spans="1:5" x14ac:dyDescent="0.3">
      <c r="A77" s="3" t="s">
        <v>75</v>
      </c>
      <c r="B77" s="7">
        <f>(((((((((((B58)+(B59))+(B60))+(B65))+(B66))+(B67))+(B68))+(B69))+(B70))+(B74))+(B75))+(B76)</f>
        <v>158698.88</v>
      </c>
      <c r="C77" s="7">
        <f>(((((((((((C58)+(C59))+(C60))+(C65))+(C66))+(C67))+(C68))+(C69))+(C70))+(C74))+(C75))+(C76)</f>
        <v>193650</v>
      </c>
      <c r="D77" s="7">
        <f t="shared" si="4"/>
        <v>-34951.119999999995</v>
      </c>
      <c r="E77" s="8">
        <f t="shared" si="5"/>
        <v>0.8195139684998709</v>
      </c>
    </row>
    <row r="78" spans="1:5" x14ac:dyDescent="0.3">
      <c r="A78" s="3" t="s">
        <v>76</v>
      </c>
      <c r="B78" s="4"/>
      <c r="C78" s="4"/>
      <c r="D78" s="5">
        <f t="shared" si="4"/>
        <v>0</v>
      </c>
      <c r="E78" s="6" t="str">
        <f t="shared" si="5"/>
        <v/>
      </c>
    </row>
    <row r="79" spans="1:5" x14ac:dyDescent="0.3">
      <c r="A79" s="3" t="s">
        <v>77</v>
      </c>
      <c r="B79" s="5">
        <f>1800</f>
        <v>1800</v>
      </c>
      <c r="C79" s="5">
        <f>500</f>
        <v>500</v>
      </c>
      <c r="D79" s="5">
        <f t="shared" si="4"/>
        <v>1300</v>
      </c>
      <c r="E79" s="6">
        <f t="shared" si="5"/>
        <v>3.6</v>
      </c>
    </row>
    <row r="80" spans="1:5" x14ac:dyDescent="0.3">
      <c r="A80" s="3" t="s">
        <v>78</v>
      </c>
      <c r="B80" s="5">
        <f>400</f>
        <v>400</v>
      </c>
      <c r="C80" s="5">
        <f>500</f>
        <v>500</v>
      </c>
      <c r="D80" s="5">
        <f t="shared" si="4"/>
        <v>-100</v>
      </c>
      <c r="E80" s="6">
        <f t="shared" si="5"/>
        <v>0.8</v>
      </c>
    </row>
    <row r="81" spans="1:5" x14ac:dyDescent="0.3">
      <c r="A81" s="3" t="s">
        <v>79</v>
      </c>
      <c r="B81" s="5">
        <f>900</f>
        <v>900</v>
      </c>
      <c r="C81" s="5">
        <f>500</f>
        <v>500</v>
      </c>
      <c r="D81" s="5">
        <f t="shared" si="4"/>
        <v>400</v>
      </c>
      <c r="E81" s="6">
        <f t="shared" si="5"/>
        <v>1.8</v>
      </c>
    </row>
    <row r="82" spans="1:5" x14ac:dyDescent="0.3">
      <c r="A82" s="3" t="s">
        <v>80</v>
      </c>
      <c r="B82" s="5">
        <f>941</f>
        <v>941</v>
      </c>
      <c r="C82" s="4"/>
      <c r="D82" s="5">
        <f t="shared" si="4"/>
        <v>941</v>
      </c>
      <c r="E82" s="6" t="str">
        <f t="shared" si="5"/>
        <v/>
      </c>
    </row>
    <row r="83" spans="1:5" x14ac:dyDescent="0.3">
      <c r="A83" s="3" t="s">
        <v>81</v>
      </c>
      <c r="B83" s="4"/>
      <c r="C83" s="4"/>
      <c r="D83" s="5">
        <f t="shared" si="4"/>
        <v>0</v>
      </c>
      <c r="E83" s="6" t="str">
        <f t="shared" si="5"/>
        <v/>
      </c>
    </row>
    <row r="84" spans="1:5" x14ac:dyDescent="0.3">
      <c r="A84" s="3" t="s">
        <v>82</v>
      </c>
      <c r="B84" s="5">
        <f>1100</f>
        <v>1100</v>
      </c>
      <c r="C84" s="5">
        <f>200</f>
        <v>200</v>
      </c>
      <c r="D84" s="5">
        <f t="shared" si="4"/>
        <v>900</v>
      </c>
      <c r="E84" s="6">
        <f t="shared" si="5"/>
        <v>5.5</v>
      </c>
    </row>
    <row r="85" spans="1:5" x14ac:dyDescent="0.3">
      <c r="A85" s="3" t="s">
        <v>83</v>
      </c>
      <c r="B85" s="7">
        <f>(B83)+(B84)</f>
        <v>1100</v>
      </c>
      <c r="C85" s="7">
        <f>(C83)+(C84)</f>
        <v>200</v>
      </c>
      <c r="D85" s="7">
        <f t="shared" si="4"/>
        <v>900</v>
      </c>
      <c r="E85" s="8">
        <f t="shared" si="5"/>
        <v>5.5</v>
      </c>
    </row>
    <row r="86" spans="1:5" x14ac:dyDescent="0.3">
      <c r="A86" s="3" t="s">
        <v>84</v>
      </c>
      <c r="B86" s="5">
        <f>10746.59</f>
        <v>10746.59</v>
      </c>
      <c r="C86" s="4"/>
      <c r="D86" s="5">
        <f t="shared" si="4"/>
        <v>10746.59</v>
      </c>
      <c r="E86" s="6" t="str">
        <f t="shared" si="5"/>
        <v/>
      </c>
    </row>
    <row r="87" spans="1:5" x14ac:dyDescent="0.3">
      <c r="A87" s="3" t="s">
        <v>85</v>
      </c>
      <c r="B87" s="5">
        <f>136</f>
        <v>136</v>
      </c>
      <c r="C87" s="4"/>
      <c r="D87" s="5">
        <f t="shared" si="4"/>
        <v>136</v>
      </c>
      <c r="E87" s="6" t="str">
        <f t="shared" si="5"/>
        <v/>
      </c>
    </row>
    <row r="88" spans="1:5" x14ac:dyDescent="0.3">
      <c r="A88" s="3" t="s">
        <v>86</v>
      </c>
      <c r="B88" s="7">
        <f>(B86)+(B87)</f>
        <v>10882.59</v>
      </c>
      <c r="C88" s="7">
        <f>(C86)+(C87)</f>
        <v>0</v>
      </c>
      <c r="D88" s="7">
        <f t="shared" si="4"/>
        <v>10882.59</v>
      </c>
      <c r="E88" s="8" t="str">
        <f t="shared" si="5"/>
        <v/>
      </c>
    </row>
    <row r="89" spans="1:5" x14ac:dyDescent="0.3">
      <c r="A89" s="3" t="s">
        <v>87</v>
      </c>
      <c r="B89" s="5">
        <f>52605</f>
        <v>52605</v>
      </c>
      <c r="C89" s="4"/>
      <c r="D89" s="5">
        <f t="shared" si="4"/>
        <v>52605</v>
      </c>
      <c r="E89" s="6" t="str">
        <f t="shared" si="5"/>
        <v/>
      </c>
    </row>
    <row r="90" spans="1:5" x14ac:dyDescent="0.3">
      <c r="A90" s="3" t="s">
        <v>88</v>
      </c>
      <c r="B90" s="5">
        <f>701500</f>
        <v>701500</v>
      </c>
      <c r="C90" s="4"/>
      <c r="D90" s="5">
        <f t="shared" si="4"/>
        <v>701500</v>
      </c>
      <c r="E90" s="6" t="str">
        <f t="shared" si="5"/>
        <v/>
      </c>
    </row>
    <row r="91" spans="1:5" x14ac:dyDescent="0.3">
      <c r="A91" s="3" t="s">
        <v>89</v>
      </c>
      <c r="B91" s="7">
        <f>((((((((B78)+(B79))+(B80))+(B81))+(B82))+(B85))+(B88))+(B89))+(B90)</f>
        <v>770128.59</v>
      </c>
      <c r="C91" s="7">
        <f>((((((((C78)+(C79))+(C80))+(C81))+(C82))+(C85))+(C88))+(C89))+(C90)</f>
        <v>1700</v>
      </c>
      <c r="D91" s="7">
        <f t="shared" si="4"/>
        <v>768428.59</v>
      </c>
      <c r="E91" s="8">
        <f t="shared" si="5"/>
        <v>453.01681764705882</v>
      </c>
    </row>
    <row r="92" spans="1:5" x14ac:dyDescent="0.3">
      <c r="A92" s="3" t="s">
        <v>90</v>
      </c>
      <c r="B92" s="5">
        <f>600</f>
        <v>600</v>
      </c>
      <c r="C92" s="4"/>
      <c r="D92" s="5">
        <f t="shared" si="4"/>
        <v>600</v>
      </c>
      <c r="E92" s="6" t="str">
        <f t="shared" si="5"/>
        <v/>
      </c>
    </row>
    <row r="93" spans="1:5" x14ac:dyDescent="0.3">
      <c r="A93" s="3" t="s">
        <v>91</v>
      </c>
      <c r="B93" s="5">
        <f>175</f>
        <v>175</v>
      </c>
      <c r="C93" s="4"/>
      <c r="D93" s="5">
        <f t="shared" si="4"/>
        <v>175</v>
      </c>
      <c r="E93" s="6" t="str">
        <f t="shared" si="5"/>
        <v/>
      </c>
    </row>
    <row r="94" spans="1:5" x14ac:dyDescent="0.3">
      <c r="A94" s="3" t="s">
        <v>92</v>
      </c>
      <c r="B94" s="5">
        <f>17375</f>
        <v>17375</v>
      </c>
      <c r="C94" s="4"/>
      <c r="D94" s="5">
        <f t="shared" si="4"/>
        <v>17375</v>
      </c>
      <c r="E94" s="6" t="str">
        <f t="shared" si="5"/>
        <v/>
      </c>
    </row>
    <row r="95" spans="1:5" x14ac:dyDescent="0.3">
      <c r="A95" s="3" t="s">
        <v>93</v>
      </c>
      <c r="B95" s="7">
        <f>((B92)+(B93))+(B94)</f>
        <v>18150</v>
      </c>
      <c r="C95" s="7">
        <f>((C92)+(C93))+(C94)</f>
        <v>0</v>
      </c>
      <c r="D95" s="7">
        <f t="shared" si="4"/>
        <v>18150</v>
      </c>
      <c r="E95" s="8" t="str">
        <f t="shared" si="5"/>
        <v/>
      </c>
    </row>
    <row r="96" spans="1:5" x14ac:dyDescent="0.3">
      <c r="A96" s="3" t="s">
        <v>94</v>
      </c>
      <c r="B96" s="5">
        <f>0</f>
        <v>0</v>
      </c>
      <c r="C96" s="4"/>
      <c r="D96" s="5">
        <f t="shared" si="4"/>
        <v>0</v>
      </c>
      <c r="E96" s="6" t="str">
        <f t="shared" si="5"/>
        <v/>
      </c>
    </row>
    <row r="97" spans="1:5" x14ac:dyDescent="0.3">
      <c r="A97" s="3" t="s">
        <v>95</v>
      </c>
      <c r="B97" s="7">
        <f>((((((((((B10)+(B21))+(B22))+(B33))+(B42))+(B49))+(B57))+(B77))+(B91))+(B95))+(B96)</f>
        <v>1236874.99</v>
      </c>
      <c r="C97" s="7">
        <f>((((((((((C10)+(C21))+(C22))+(C33))+(C42))+(C49))+(C57))+(C77))+(C91))+(C95))+(C96)</f>
        <v>465470</v>
      </c>
      <c r="D97" s="7">
        <f t="shared" si="4"/>
        <v>771404.99</v>
      </c>
      <c r="E97" s="8">
        <f t="shared" si="5"/>
        <v>2.6572603819795044</v>
      </c>
    </row>
    <row r="98" spans="1:5" x14ac:dyDescent="0.3">
      <c r="A98" s="3" t="s">
        <v>96</v>
      </c>
      <c r="B98" s="7">
        <f>(B97)-(0)</f>
        <v>1236874.99</v>
      </c>
      <c r="C98" s="7">
        <f>(C97)-(0)</f>
        <v>465470</v>
      </c>
      <c r="D98" s="7">
        <f t="shared" si="4"/>
        <v>771404.99</v>
      </c>
      <c r="E98" s="8">
        <f t="shared" si="5"/>
        <v>2.6572603819795044</v>
      </c>
    </row>
    <row r="99" spans="1:5" x14ac:dyDescent="0.3">
      <c r="A99" s="3" t="s">
        <v>97</v>
      </c>
      <c r="B99" s="4"/>
      <c r="C99" s="4"/>
      <c r="D99" s="4"/>
      <c r="E99" s="4"/>
    </row>
    <row r="100" spans="1:5" x14ac:dyDescent="0.3">
      <c r="A100" s="3" t="s">
        <v>98</v>
      </c>
      <c r="B100" s="5">
        <f>0</f>
        <v>0</v>
      </c>
      <c r="C100" s="4"/>
      <c r="D100" s="5">
        <f t="shared" ref="D100:D131" si="6">(B100)-(C100)</f>
        <v>0</v>
      </c>
      <c r="E100" s="6" t="str">
        <f t="shared" ref="E100:E131" si="7">IF(C100=0,"",(B100)/(C100))</f>
        <v/>
      </c>
    </row>
    <row r="101" spans="1:5" x14ac:dyDescent="0.3">
      <c r="A101" s="3" t="s">
        <v>99</v>
      </c>
      <c r="B101" s="5">
        <f>0</f>
        <v>0</v>
      </c>
      <c r="C101" s="4"/>
      <c r="D101" s="5">
        <f t="shared" si="6"/>
        <v>0</v>
      </c>
      <c r="E101" s="6" t="str">
        <f t="shared" si="7"/>
        <v/>
      </c>
    </row>
    <row r="102" spans="1:5" x14ac:dyDescent="0.3">
      <c r="A102" s="3" t="s">
        <v>100</v>
      </c>
      <c r="B102" s="7">
        <f>(B100)+(B101)</f>
        <v>0</v>
      </c>
      <c r="C102" s="7">
        <f>(C100)+(C101)</f>
        <v>0</v>
      </c>
      <c r="D102" s="7">
        <f t="shared" si="6"/>
        <v>0</v>
      </c>
      <c r="E102" s="8" t="str">
        <f t="shared" si="7"/>
        <v/>
      </c>
    </row>
    <row r="103" spans="1:5" x14ac:dyDescent="0.3">
      <c r="A103" s="3" t="s">
        <v>101</v>
      </c>
      <c r="B103" s="5">
        <f>0.02</f>
        <v>0.02</v>
      </c>
      <c r="C103" s="4"/>
      <c r="D103" s="5">
        <f t="shared" si="6"/>
        <v>0.02</v>
      </c>
      <c r="E103" s="6" t="str">
        <f t="shared" si="7"/>
        <v/>
      </c>
    </row>
    <row r="104" spans="1:5" x14ac:dyDescent="0.3">
      <c r="A104" s="3" t="s">
        <v>102</v>
      </c>
      <c r="B104" s="4"/>
      <c r="C104" s="4"/>
      <c r="D104" s="5">
        <f t="shared" si="6"/>
        <v>0</v>
      </c>
      <c r="E104" s="6" t="str">
        <f t="shared" si="7"/>
        <v/>
      </c>
    </row>
    <row r="105" spans="1:5" x14ac:dyDescent="0.3">
      <c r="A105" s="3" t="s">
        <v>103</v>
      </c>
      <c r="B105" s="5">
        <f>0</f>
        <v>0</v>
      </c>
      <c r="C105" s="4"/>
      <c r="D105" s="5">
        <f t="shared" si="6"/>
        <v>0</v>
      </c>
      <c r="E105" s="6" t="str">
        <f t="shared" si="7"/>
        <v/>
      </c>
    </row>
    <row r="106" spans="1:5" x14ac:dyDescent="0.3">
      <c r="A106" s="3" t="s">
        <v>104</v>
      </c>
      <c r="B106" s="5">
        <f>9820</f>
        <v>9820</v>
      </c>
      <c r="C106" s="5">
        <f>10500</f>
        <v>10500</v>
      </c>
      <c r="D106" s="5">
        <f t="shared" si="6"/>
        <v>-680</v>
      </c>
      <c r="E106" s="6">
        <f t="shared" si="7"/>
        <v>0.9352380952380952</v>
      </c>
    </row>
    <row r="107" spans="1:5" x14ac:dyDescent="0.3">
      <c r="A107" s="3" t="s">
        <v>105</v>
      </c>
      <c r="B107" s="4"/>
      <c r="C107" s="5">
        <f>10</f>
        <v>10</v>
      </c>
      <c r="D107" s="5">
        <f t="shared" si="6"/>
        <v>-10</v>
      </c>
      <c r="E107" s="6">
        <f t="shared" si="7"/>
        <v>0</v>
      </c>
    </row>
    <row r="108" spans="1:5" x14ac:dyDescent="0.3">
      <c r="A108" s="3" t="s">
        <v>106</v>
      </c>
      <c r="B108" s="7">
        <f>(((B104)+(B105))+(B106))+(B107)</f>
        <v>9820</v>
      </c>
      <c r="C108" s="7">
        <f>(((C104)+(C105))+(C106))+(C107)</f>
        <v>10510</v>
      </c>
      <c r="D108" s="7">
        <f t="shared" si="6"/>
        <v>-690</v>
      </c>
      <c r="E108" s="8">
        <f t="shared" si="7"/>
        <v>0.93434823977164605</v>
      </c>
    </row>
    <row r="109" spans="1:5" x14ac:dyDescent="0.3">
      <c r="A109" s="3" t="s">
        <v>107</v>
      </c>
      <c r="B109" s="5">
        <f>0</f>
        <v>0</v>
      </c>
      <c r="C109" s="4"/>
      <c r="D109" s="5">
        <f t="shared" si="6"/>
        <v>0</v>
      </c>
      <c r="E109" s="6" t="str">
        <f t="shared" si="7"/>
        <v/>
      </c>
    </row>
    <row r="110" spans="1:5" x14ac:dyDescent="0.3">
      <c r="A110" s="3" t="s">
        <v>108</v>
      </c>
      <c r="B110" s="4"/>
      <c r="C110" s="4"/>
      <c r="D110" s="5">
        <f t="shared" si="6"/>
        <v>0</v>
      </c>
      <c r="E110" s="6" t="str">
        <f t="shared" si="7"/>
        <v/>
      </c>
    </row>
    <row r="111" spans="1:5" x14ac:dyDescent="0.3">
      <c r="A111" s="3" t="s">
        <v>109</v>
      </c>
      <c r="B111" s="5">
        <f>84590.3</f>
        <v>84590.3</v>
      </c>
      <c r="C111" s="5">
        <f>98000</f>
        <v>98000</v>
      </c>
      <c r="D111" s="5">
        <f t="shared" si="6"/>
        <v>-13409.699999999997</v>
      </c>
      <c r="E111" s="6">
        <f t="shared" si="7"/>
        <v>0.86316632653061232</v>
      </c>
    </row>
    <row r="112" spans="1:5" x14ac:dyDescent="0.3">
      <c r="A112" s="3" t="s">
        <v>110</v>
      </c>
      <c r="B112" s="5">
        <f>0</f>
        <v>0</v>
      </c>
      <c r="C112" s="4"/>
      <c r="D112" s="5">
        <f t="shared" si="6"/>
        <v>0</v>
      </c>
      <c r="E112" s="6" t="str">
        <f t="shared" si="7"/>
        <v/>
      </c>
    </row>
    <row r="113" spans="1:5" x14ac:dyDescent="0.3">
      <c r="A113" s="3" t="s">
        <v>111</v>
      </c>
      <c r="B113" s="5">
        <f>2788</f>
        <v>2788</v>
      </c>
      <c r="C113" s="5">
        <f>3000</f>
        <v>3000</v>
      </c>
      <c r="D113" s="5">
        <f t="shared" si="6"/>
        <v>-212</v>
      </c>
      <c r="E113" s="6">
        <f t="shared" si="7"/>
        <v>0.92933333333333334</v>
      </c>
    </row>
    <row r="114" spans="1:5" x14ac:dyDescent="0.3">
      <c r="A114" s="3" t="s">
        <v>112</v>
      </c>
      <c r="B114" s="7">
        <f>((B111)+(B112))+(B113)</f>
        <v>87378.3</v>
      </c>
      <c r="C114" s="7">
        <f>((C111)+(C112))+(C113)</f>
        <v>101000</v>
      </c>
      <c r="D114" s="7">
        <f t="shared" si="6"/>
        <v>-13621.699999999997</v>
      </c>
      <c r="E114" s="8">
        <f t="shared" si="7"/>
        <v>0.8651316831683169</v>
      </c>
    </row>
    <row r="115" spans="1:5" x14ac:dyDescent="0.3">
      <c r="A115" s="3" t="s">
        <v>113</v>
      </c>
      <c r="B115" s="4"/>
      <c r="C115" s="5">
        <f>125</f>
        <v>125</v>
      </c>
      <c r="D115" s="5">
        <f t="shared" si="6"/>
        <v>-125</v>
      </c>
      <c r="E115" s="6">
        <f t="shared" si="7"/>
        <v>0</v>
      </c>
    </row>
    <row r="116" spans="1:5" x14ac:dyDescent="0.3">
      <c r="A116" s="3" t="s">
        <v>114</v>
      </c>
      <c r="B116" s="4"/>
      <c r="C116" s="5">
        <f>350</f>
        <v>350</v>
      </c>
      <c r="D116" s="5">
        <f t="shared" si="6"/>
        <v>-350</v>
      </c>
      <c r="E116" s="6">
        <f t="shared" si="7"/>
        <v>0</v>
      </c>
    </row>
    <row r="117" spans="1:5" x14ac:dyDescent="0.3">
      <c r="A117" s="3" t="s">
        <v>115</v>
      </c>
      <c r="B117" s="4"/>
      <c r="C117" s="5">
        <f>50</f>
        <v>50</v>
      </c>
      <c r="D117" s="5">
        <f t="shared" si="6"/>
        <v>-50</v>
      </c>
      <c r="E117" s="6">
        <f t="shared" si="7"/>
        <v>0</v>
      </c>
    </row>
    <row r="118" spans="1:5" x14ac:dyDescent="0.3">
      <c r="A118" s="3" t="s">
        <v>116</v>
      </c>
      <c r="B118" s="5">
        <f>19994.86</f>
        <v>19994.86</v>
      </c>
      <c r="C118" s="5">
        <f>34300</f>
        <v>34300</v>
      </c>
      <c r="D118" s="5">
        <f t="shared" si="6"/>
        <v>-14305.14</v>
      </c>
      <c r="E118" s="6">
        <f t="shared" si="7"/>
        <v>0.58294052478134117</v>
      </c>
    </row>
    <row r="119" spans="1:5" x14ac:dyDescent="0.3">
      <c r="A119" s="3" t="s">
        <v>117</v>
      </c>
      <c r="B119" s="5">
        <f>4479.38</f>
        <v>4479.38</v>
      </c>
      <c r="C119" s="5">
        <f>11000</f>
        <v>11000</v>
      </c>
      <c r="D119" s="5">
        <f t="shared" si="6"/>
        <v>-6520.62</v>
      </c>
      <c r="E119" s="6">
        <f t="shared" si="7"/>
        <v>0.40721636363636365</v>
      </c>
    </row>
    <row r="120" spans="1:5" x14ac:dyDescent="0.3">
      <c r="A120" s="3" t="s">
        <v>118</v>
      </c>
      <c r="B120" s="7">
        <f>((((((B110)+(B114))+(B115))+(B116))+(B117))+(B118))+(B119)</f>
        <v>111852.54000000001</v>
      </c>
      <c r="C120" s="7">
        <f>((((((C110)+(C114))+(C115))+(C116))+(C117))+(C118))+(C119)</f>
        <v>146825</v>
      </c>
      <c r="D120" s="7">
        <f t="shared" si="6"/>
        <v>-34972.459999999992</v>
      </c>
      <c r="E120" s="8">
        <f t="shared" si="7"/>
        <v>0.76180854759066918</v>
      </c>
    </row>
    <row r="121" spans="1:5" x14ac:dyDescent="0.3">
      <c r="A121" s="3" t="s">
        <v>119</v>
      </c>
      <c r="B121" s="5">
        <f>888</f>
        <v>888</v>
      </c>
      <c r="C121" s="4"/>
      <c r="D121" s="5">
        <f t="shared" si="6"/>
        <v>888</v>
      </c>
      <c r="E121" s="6" t="str">
        <f t="shared" si="7"/>
        <v/>
      </c>
    </row>
    <row r="122" spans="1:5" x14ac:dyDescent="0.3">
      <c r="A122" s="3" t="s">
        <v>120</v>
      </c>
      <c r="B122" s="5">
        <f>6094.1</f>
        <v>6094.1</v>
      </c>
      <c r="C122" s="4"/>
      <c r="D122" s="5">
        <f t="shared" si="6"/>
        <v>6094.1</v>
      </c>
      <c r="E122" s="6" t="str">
        <f t="shared" si="7"/>
        <v/>
      </c>
    </row>
    <row r="123" spans="1:5" x14ac:dyDescent="0.3">
      <c r="A123" s="3" t="s">
        <v>121</v>
      </c>
      <c r="B123" s="4"/>
      <c r="C123" s="4"/>
      <c r="D123" s="5">
        <f t="shared" si="6"/>
        <v>0</v>
      </c>
      <c r="E123" s="6" t="str">
        <f t="shared" si="7"/>
        <v/>
      </c>
    </row>
    <row r="124" spans="1:5" x14ac:dyDescent="0.3">
      <c r="A124" s="3" t="s">
        <v>122</v>
      </c>
      <c r="B124" s="5">
        <f>1120</f>
        <v>1120</v>
      </c>
      <c r="C124" s="5">
        <f>300</f>
        <v>300</v>
      </c>
      <c r="D124" s="5">
        <f t="shared" si="6"/>
        <v>820</v>
      </c>
      <c r="E124" s="6">
        <f t="shared" si="7"/>
        <v>3.7333333333333334</v>
      </c>
    </row>
    <row r="125" spans="1:5" x14ac:dyDescent="0.3">
      <c r="A125" s="3" t="s">
        <v>123</v>
      </c>
      <c r="B125" s="5">
        <f>27293.48</f>
        <v>27293.48</v>
      </c>
      <c r="C125" s="5">
        <f>2000</f>
        <v>2000</v>
      </c>
      <c r="D125" s="5">
        <f t="shared" si="6"/>
        <v>25293.48</v>
      </c>
      <c r="E125" s="6">
        <f t="shared" si="7"/>
        <v>13.646739999999999</v>
      </c>
    </row>
    <row r="126" spans="1:5" x14ac:dyDescent="0.3">
      <c r="A126" s="3" t="s">
        <v>124</v>
      </c>
      <c r="B126" s="5">
        <f>3860.98</f>
        <v>3860.98</v>
      </c>
      <c r="C126" s="5">
        <f>3740</f>
        <v>3740</v>
      </c>
      <c r="D126" s="5">
        <f t="shared" si="6"/>
        <v>120.98000000000002</v>
      </c>
      <c r="E126" s="6">
        <f t="shared" si="7"/>
        <v>1.0323475935828876</v>
      </c>
    </row>
    <row r="127" spans="1:5" x14ac:dyDescent="0.3">
      <c r="A127" s="3" t="s">
        <v>125</v>
      </c>
      <c r="B127" s="5">
        <f>4528.8</f>
        <v>4528.8</v>
      </c>
      <c r="C127" s="5">
        <f>4600</f>
        <v>4600</v>
      </c>
      <c r="D127" s="5">
        <f t="shared" si="6"/>
        <v>-71.199999999999818</v>
      </c>
      <c r="E127" s="6">
        <f t="shared" si="7"/>
        <v>0.98452173913043484</v>
      </c>
    </row>
    <row r="128" spans="1:5" x14ac:dyDescent="0.3">
      <c r="A128" s="3" t="s">
        <v>126</v>
      </c>
      <c r="B128" s="4"/>
      <c r="C128" s="5">
        <f>160</f>
        <v>160</v>
      </c>
      <c r="D128" s="5">
        <f t="shared" si="6"/>
        <v>-160</v>
      </c>
      <c r="E128" s="6">
        <f t="shared" si="7"/>
        <v>0</v>
      </c>
    </row>
    <row r="129" spans="1:5" x14ac:dyDescent="0.3">
      <c r="A129" s="3" t="s">
        <v>127</v>
      </c>
      <c r="B129" s="5">
        <f>788.17</f>
        <v>788.17</v>
      </c>
      <c r="C129" s="5">
        <f>600</f>
        <v>600</v>
      </c>
      <c r="D129" s="5">
        <f t="shared" si="6"/>
        <v>188.16999999999996</v>
      </c>
      <c r="E129" s="6">
        <f t="shared" si="7"/>
        <v>1.3136166666666667</v>
      </c>
    </row>
    <row r="130" spans="1:5" x14ac:dyDescent="0.3">
      <c r="A130" s="3" t="s">
        <v>128</v>
      </c>
      <c r="B130" s="5">
        <f>1401.68</f>
        <v>1401.68</v>
      </c>
      <c r="C130" s="4"/>
      <c r="D130" s="5">
        <f t="shared" si="6"/>
        <v>1401.68</v>
      </c>
      <c r="E130" s="6" t="str">
        <f t="shared" si="7"/>
        <v/>
      </c>
    </row>
    <row r="131" spans="1:5" x14ac:dyDescent="0.3">
      <c r="A131" s="3" t="s">
        <v>129</v>
      </c>
      <c r="B131" s="5">
        <f>26013.27</f>
        <v>26013.27</v>
      </c>
      <c r="C131" s="5">
        <f>33000</f>
        <v>33000</v>
      </c>
      <c r="D131" s="5">
        <f t="shared" si="6"/>
        <v>-6986.73</v>
      </c>
      <c r="E131" s="6">
        <f t="shared" si="7"/>
        <v>0.78828090909090909</v>
      </c>
    </row>
    <row r="132" spans="1:5" x14ac:dyDescent="0.3">
      <c r="A132" s="3" t="s">
        <v>130</v>
      </c>
      <c r="B132" s="5">
        <f>2000</f>
        <v>2000</v>
      </c>
      <c r="C132" s="4"/>
      <c r="D132" s="5">
        <f t="shared" ref="D132:D163" si="8">(B132)-(C132)</f>
        <v>2000</v>
      </c>
      <c r="E132" s="6" t="str">
        <f t="shared" ref="E132:E163" si="9">IF(C132=0,"",(B132)/(C132))</f>
        <v/>
      </c>
    </row>
    <row r="133" spans="1:5" x14ac:dyDescent="0.3">
      <c r="A133" s="3" t="s">
        <v>131</v>
      </c>
      <c r="B133" s="5">
        <f>5903.62</f>
        <v>5903.62</v>
      </c>
      <c r="C133" s="5">
        <f>11450</f>
        <v>11450</v>
      </c>
      <c r="D133" s="5">
        <f t="shared" si="8"/>
        <v>-5546.38</v>
      </c>
      <c r="E133" s="6">
        <f t="shared" si="9"/>
        <v>0.51559999999999995</v>
      </c>
    </row>
    <row r="134" spans="1:5" x14ac:dyDescent="0.3">
      <c r="A134" s="3" t="s">
        <v>132</v>
      </c>
      <c r="B134" s="5">
        <f>2762.68</f>
        <v>2762.68</v>
      </c>
      <c r="C134" s="4"/>
      <c r="D134" s="5">
        <f t="shared" si="8"/>
        <v>2762.68</v>
      </c>
      <c r="E134" s="6" t="str">
        <f t="shared" si="9"/>
        <v/>
      </c>
    </row>
    <row r="135" spans="1:5" x14ac:dyDescent="0.3">
      <c r="A135" s="3" t="s">
        <v>133</v>
      </c>
      <c r="B135" s="5">
        <f>0</f>
        <v>0</v>
      </c>
      <c r="C135" s="4"/>
      <c r="D135" s="5">
        <f t="shared" si="8"/>
        <v>0</v>
      </c>
      <c r="E135" s="6" t="str">
        <f t="shared" si="9"/>
        <v/>
      </c>
    </row>
    <row r="136" spans="1:5" x14ac:dyDescent="0.3">
      <c r="A136" s="3" t="s">
        <v>134</v>
      </c>
      <c r="B136" s="5">
        <f>3368.98</f>
        <v>3368.98</v>
      </c>
      <c r="C136" s="5">
        <f>400</f>
        <v>400</v>
      </c>
      <c r="D136" s="5">
        <f t="shared" si="8"/>
        <v>2968.98</v>
      </c>
      <c r="E136" s="6">
        <f t="shared" si="9"/>
        <v>8.4224499999999995</v>
      </c>
    </row>
    <row r="137" spans="1:5" x14ac:dyDescent="0.3">
      <c r="A137" s="3" t="s">
        <v>135</v>
      </c>
      <c r="B137" s="5">
        <f>4084.47</f>
        <v>4084.47</v>
      </c>
      <c r="C137" s="5">
        <f>4000</f>
        <v>4000</v>
      </c>
      <c r="D137" s="5">
        <f t="shared" si="8"/>
        <v>84.4699999999998</v>
      </c>
      <c r="E137" s="6">
        <f t="shared" si="9"/>
        <v>1.0211174999999999</v>
      </c>
    </row>
    <row r="138" spans="1:5" x14ac:dyDescent="0.3">
      <c r="A138" s="3" t="s">
        <v>136</v>
      </c>
      <c r="B138" s="7">
        <f>(B136)+(B137)</f>
        <v>7453.45</v>
      </c>
      <c r="C138" s="7">
        <f>(C136)+(C137)</f>
        <v>4400</v>
      </c>
      <c r="D138" s="7">
        <f t="shared" si="8"/>
        <v>3053.45</v>
      </c>
      <c r="E138" s="8">
        <f t="shared" si="9"/>
        <v>1.6939659090909089</v>
      </c>
    </row>
    <row r="139" spans="1:5" x14ac:dyDescent="0.3">
      <c r="A139" s="3" t="s">
        <v>137</v>
      </c>
      <c r="B139" s="5">
        <f>228.85</f>
        <v>228.85</v>
      </c>
      <c r="C139" s="5">
        <f>600</f>
        <v>600</v>
      </c>
      <c r="D139" s="5">
        <f t="shared" si="8"/>
        <v>-371.15</v>
      </c>
      <c r="E139" s="6">
        <f t="shared" si="9"/>
        <v>0.38141666666666668</v>
      </c>
    </row>
    <row r="140" spans="1:5" x14ac:dyDescent="0.3">
      <c r="A140" s="3" t="s">
        <v>138</v>
      </c>
      <c r="B140" s="5">
        <f>5453.46</f>
        <v>5453.46</v>
      </c>
      <c r="C140" s="4"/>
      <c r="D140" s="5">
        <f t="shared" si="8"/>
        <v>5453.46</v>
      </c>
      <c r="E140" s="6" t="str">
        <f t="shared" si="9"/>
        <v/>
      </c>
    </row>
    <row r="141" spans="1:5" x14ac:dyDescent="0.3">
      <c r="A141" s="3" t="s">
        <v>139</v>
      </c>
      <c r="B141" s="5">
        <f>157.7</f>
        <v>157.69999999999999</v>
      </c>
      <c r="C141" s="4"/>
      <c r="D141" s="5">
        <f t="shared" si="8"/>
        <v>157.69999999999999</v>
      </c>
      <c r="E141" s="6" t="str">
        <f t="shared" si="9"/>
        <v/>
      </c>
    </row>
    <row r="142" spans="1:5" x14ac:dyDescent="0.3">
      <c r="A142" s="3" t="s">
        <v>140</v>
      </c>
      <c r="B142" s="5">
        <f>945.48</f>
        <v>945.48</v>
      </c>
      <c r="C142" s="4"/>
      <c r="D142" s="5">
        <f t="shared" si="8"/>
        <v>945.48</v>
      </c>
      <c r="E142" s="6" t="str">
        <f t="shared" si="9"/>
        <v/>
      </c>
    </row>
    <row r="143" spans="1:5" x14ac:dyDescent="0.3">
      <c r="A143" s="3" t="s">
        <v>141</v>
      </c>
      <c r="B143" s="5">
        <f>1169.87</f>
        <v>1169.8699999999999</v>
      </c>
      <c r="C143" s="5">
        <f>560</f>
        <v>560</v>
      </c>
      <c r="D143" s="5">
        <f t="shared" si="8"/>
        <v>609.86999999999989</v>
      </c>
      <c r="E143" s="6">
        <f t="shared" si="9"/>
        <v>2.0890535714285714</v>
      </c>
    </row>
    <row r="144" spans="1:5" x14ac:dyDescent="0.3">
      <c r="A144" s="3" t="s">
        <v>142</v>
      </c>
      <c r="B144" s="5">
        <f>628.92</f>
        <v>628.91999999999996</v>
      </c>
      <c r="C144" s="5">
        <f>864</f>
        <v>864</v>
      </c>
      <c r="D144" s="5">
        <f t="shared" si="8"/>
        <v>-235.08000000000004</v>
      </c>
      <c r="E144" s="6">
        <f t="shared" si="9"/>
        <v>0.72791666666666666</v>
      </c>
    </row>
    <row r="145" spans="1:5" x14ac:dyDescent="0.3">
      <c r="A145" s="3" t="s">
        <v>143</v>
      </c>
      <c r="B145" s="5">
        <f>-45.72</f>
        <v>-45.72</v>
      </c>
      <c r="C145" s="5">
        <f>9000</f>
        <v>9000</v>
      </c>
      <c r="D145" s="5">
        <f t="shared" si="8"/>
        <v>-9045.7199999999993</v>
      </c>
      <c r="E145" s="6">
        <f t="shared" si="9"/>
        <v>-5.0799999999999994E-3</v>
      </c>
    </row>
    <row r="146" spans="1:5" x14ac:dyDescent="0.3">
      <c r="A146" s="3" t="s">
        <v>144</v>
      </c>
      <c r="B146" s="5">
        <f>71285</f>
        <v>71285</v>
      </c>
      <c r="C146" s="5">
        <f>89200</f>
        <v>89200</v>
      </c>
      <c r="D146" s="5">
        <f t="shared" si="8"/>
        <v>-17915</v>
      </c>
      <c r="E146" s="6">
        <f t="shared" si="9"/>
        <v>0.79915919282511205</v>
      </c>
    </row>
    <row r="147" spans="1:5" x14ac:dyDescent="0.3">
      <c r="A147" s="3" t="s">
        <v>145</v>
      </c>
      <c r="B147" s="4"/>
      <c r="C147" s="5">
        <f>1700</f>
        <v>1700</v>
      </c>
      <c r="D147" s="5">
        <f t="shared" si="8"/>
        <v>-1700</v>
      </c>
      <c r="E147" s="6">
        <f t="shared" si="9"/>
        <v>0</v>
      </c>
    </row>
    <row r="148" spans="1:5" x14ac:dyDescent="0.3">
      <c r="A148" s="3" t="s">
        <v>146</v>
      </c>
      <c r="B148" s="5">
        <f>10.95</f>
        <v>10.95</v>
      </c>
      <c r="C148" s="4"/>
      <c r="D148" s="5">
        <f t="shared" si="8"/>
        <v>10.95</v>
      </c>
      <c r="E148" s="6" t="str">
        <f t="shared" si="9"/>
        <v/>
      </c>
    </row>
    <row r="149" spans="1:5" x14ac:dyDescent="0.3">
      <c r="A149" s="3" t="s">
        <v>147</v>
      </c>
      <c r="B149" s="5">
        <f>111.13</f>
        <v>111.13</v>
      </c>
      <c r="C149" s="5">
        <f>700</f>
        <v>700</v>
      </c>
      <c r="D149" s="5">
        <f t="shared" si="8"/>
        <v>-588.87</v>
      </c>
      <c r="E149" s="6">
        <f t="shared" si="9"/>
        <v>0.15875714285714285</v>
      </c>
    </row>
    <row r="150" spans="1:5" x14ac:dyDescent="0.3">
      <c r="A150" s="3" t="s">
        <v>148</v>
      </c>
      <c r="B150" s="5">
        <f>0</f>
        <v>0</v>
      </c>
      <c r="C150" s="5">
        <f>5000</f>
        <v>5000</v>
      </c>
      <c r="D150" s="5">
        <f t="shared" si="8"/>
        <v>-5000</v>
      </c>
      <c r="E150" s="6">
        <f t="shared" si="9"/>
        <v>0</v>
      </c>
    </row>
    <row r="151" spans="1:5" x14ac:dyDescent="0.3">
      <c r="A151" s="3" t="s">
        <v>149</v>
      </c>
      <c r="B151" s="5">
        <f>13855</f>
        <v>13855</v>
      </c>
      <c r="C151" s="5">
        <f>17500</f>
        <v>17500</v>
      </c>
      <c r="D151" s="5">
        <f t="shared" si="8"/>
        <v>-3645</v>
      </c>
      <c r="E151" s="6">
        <f t="shared" si="9"/>
        <v>0.7917142857142857</v>
      </c>
    </row>
    <row r="152" spans="1:5" x14ac:dyDescent="0.3">
      <c r="A152" s="3" t="s">
        <v>150</v>
      </c>
      <c r="B152" s="5">
        <f>148.36</f>
        <v>148.36000000000001</v>
      </c>
      <c r="C152" s="4"/>
      <c r="D152" s="5">
        <f t="shared" si="8"/>
        <v>148.36000000000001</v>
      </c>
      <c r="E152" s="6" t="str">
        <f t="shared" si="9"/>
        <v/>
      </c>
    </row>
    <row r="153" spans="1:5" x14ac:dyDescent="0.3">
      <c r="A153" s="3" t="s">
        <v>151</v>
      </c>
      <c r="B153" s="4"/>
      <c r="C153" s="5">
        <f>1000</f>
        <v>1000</v>
      </c>
      <c r="D153" s="5">
        <f t="shared" si="8"/>
        <v>-1000</v>
      </c>
      <c r="E153" s="6">
        <f t="shared" si="9"/>
        <v>0</v>
      </c>
    </row>
    <row r="154" spans="1:5" x14ac:dyDescent="0.3">
      <c r="A154" s="3" t="s">
        <v>152</v>
      </c>
      <c r="B154" s="5">
        <f>65</f>
        <v>65</v>
      </c>
      <c r="C154" s="4"/>
      <c r="D154" s="5">
        <f t="shared" si="8"/>
        <v>65</v>
      </c>
      <c r="E154" s="6" t="str">
        <f t="shared" si="9"/>
        <v/>
      </c>
    </row>
    <row r="155" spans="1:5" x14ac:dyDescent="0.3">
      <c r="A155" s="3" t="s">
        <v>153</v>
      </c>
      <c r="B155" s="5">
        <f>2002.46</f>
        <v>2002.46</v>
      </c>
      <c r="C155" s="4"/>
      <c r="D155" s="5">
        <f t="shared" si="8"/>
        <v>2002.46</v>
      </c>
      <c r="E155" s="6" t="str">
        <f t="shared" si="9"/>
        <v/>
      </c>
    </row>
    <row r="156" spans="1:5" x14ac:dyDescent="0.3">
      <c r="A156" s="3" t="s">
        <v>154</v>
      </c>
      <c r="B156" s="5">
        <f>319.81</f>
        <v>319.81</v>
      </c>
      <c r="C156" s="5">
        <f>3400</f>
        <v>3400</v>
      </c>
      <c r="D156" s="5">
        <f t="shared" si="8"/>
        <v>-3080.19</v>
      </c>
      <c r="E156" s="6">
        <f t="shared" si="9"/>
        <v>9.4061764705882359E-2</v>
      </c>
    </row>
    <row r="157" spans="1:5" x14ac:dyDescent="0.3">
      <c r="A157" s="3" t="s">
        <v>155</v>
      </c>
      <c r="B157" s="5">
        <f>0</f>
        <v>0</v>
      </c>
      <c r="C157" s="5">
        <f>1250</f>
        <v>1250</v>
      </c>
      <c r="D157" s="5">
        <f t="shared" si="8"/>
        <v>-1250</v>
      </c>
      <c r="E157" s="6">
        <f t="shared" si="9"/>
        <v>0</v>
      </c>
    </row>
    <row r="158" spans="1:5" x14ac:dyDescent="0.3">
      <c r="A158" s="3" t="s">
        <v>156</v>
      </c>
      <c r="B158" s="5">
        <f>233.02</f>
        <v>233.02</v>
      </c>
      <c r="C158" s="4"/>
      <c r="D158" s="5">
        <f t="shared" si="8"/>
        <v>233.02</v>
      </c>
      <c r="E158" s="6" t="str">
        <f t="shared" si="9"/>
        <v/>
      </c>
    </row>
    <row r="159" spans="1:5" x14ac:dyDescent="0.3">
      <c r="A159" s="3" t="s">
        <v>157</v>
      </c>
      <c r="B159" s="4"/>
      <c r="C159" s="5">
        <f>600</f>
        <v>600</v>
      </c>
      <c r="D159" s="5">
        <f t="shared" si="8"/>
        <v>-600</v>
      </c>
      <c r="E159" s="6">
        <f t="shared" si="9"/>
        <v>0</v>
      </c>
    </row>
    <row r="160" spans="1:5" x14ac:dyDescent="0.3">
      <c r="A160" s="3" t="s">
        <v>158</v>
      </c>
      <c r="B160" s="5">
        <f>412.32</f>
        <v>412.32</v>
      </c>
      <c r="C160" s="5">
        <f>1000</f>
        <v>1000</v>
      </c>
      <c r="D160" s="5">
        <f t="shared" si="8"/>
        <v>-587.68000000000006</v>
      </c>
      <c r="E160" s="6">
        <f t="shared" si="9"/>
        <v>0.41232000000000002</v>
      </c>
    </row>
    <row r="161" spans="1:5" x14ac:dyDescent="0.3">
      <c r="A161" s="3" t="s">
        <v>159</v>
      </c>
      <c r="B161" s="4"/>
      <c r="C161" s="5">
        <f>500</f>
        <v>500</v>
      </c>
      <c r="D161" s="5">
        <f t="shared" si="8"/>
        <v>-500</v>
      </c>
      <c r="E161" s="6">
        <f t="shared" si="9"/>
        <v>0</v>
      </c>
    </row>
    <row r="162" spans="1:5" x14ac:dyDescent="0.3">
      <c r="A162" s="3" t="s">
        <v>160</v>
      </c>
      <c r="B162" s="7">
        <f>((((((((((((((((((((((((((((((((((((B123)+(B124))+(B125))+(B126))+(B127))+(B128))+(B129))+(B130))+(B131))+(B132))+(B133))+(B134))+(B135))+(B138))+(B139))+(B140))+(B141))+(B142))+(B143))+(B144))+(B145))+(B146))+(B147))+(B148))+(B149))+(B150))+(B151))+(B152))+(B153))+(B154))+(B155))+(B156))+(B157))+(B158))+(B159))+(B160))+(B161)</f>
        <v>180107.74</v>
      </c>
      <c r="C162" s="7">
        <f>((((((((((((((((((((((((((((((((((((C123)+(C124))+(C125))+(C126))+(C127))+(C128))+(C129))+(C130))+(C131))+(C132))+(C133))+(C134))+(C135))+(C138))+(C139))+(C140))+(C141))+(C142))+(C143))+(C144))+(C145))+(C146))+(C147))+(C148))+(C149))+(C150))+(C151))+(C152))+(C153))+(C154))+(C155))+(C156))+(C157))+(C158))+(C159))+(C160))+(C161)</f>
        <v>193124</v>
      </c>
      <c r="D162" s="7">
        <f t="shared" si="8"/>
        <v>-13016.260000000009</v>
      </c>
      <c r="E162" s="8">
        <f t="shared" si="9"/>
        <v>0.93260154097885295</v>
      </c>
    </row>
    <row r="163" spans="1:5" x14ac:dyDescent="0.3">
      <c r="A163" s="3" t="s">
        <v>161</v>
      </c>
      <c r="B163" s="4"/>
      <c r="C163" s="4"/>
      <c r="D163" s="5">
        <f t="shared" si="8"/>
        <v>0</v>
      </c>
      <c r="E163" s="6" t="str">
        <f t="shared" si="9"/>
        <v/>
      </c>
    </row>
    <row r="164" spans="1:5" x14ac:dyDescent="0.3">
      <c r="A164" s="3" t="s">
        <v>162</v>
      </c>
      <c r="B164" s="4"/>
      <c r="C164" s="5">
        <f>500</f>
        <v>500</v>
      </c>
      <c r="D164" s="5">
        <f t="shared" ref="D164:D195" si="10">(B164)-(C164)</f>
        <v>-500</v>
      </c>
      <c r="E164" s="6">
        <f t="shared" ref="E164:E195" si="11">IF(C164=0,"",(B164)/(C164))</f>
        <v>0</v>
      </c>
    </row>
    <row r="165" spans="1:5" x14ac:dyDescent="0.3">
      <c r="A165" s="3" t="s">
        <v>163</v>
      </c>
      <c r="B165" s="4"/>
      <c r="C165" s="5">
        <f>500</f>
        <v>500</v>
      </c>
      <c r="D165" s="5">
        <f t="shared" si="10"/>
        <v>-500</v>
      </c>
      <c r="E165" s="6">
        <f t="shared" si="11"/>
        <v>0</v>
      </c>
    </row>
    <row r="166" spans="1:5" x14ac:dyDescent="0.3">
      <c r="A166" s="3" t="s">
        <v>164</v>
      </c>
      <c r="B166" s="7">
        <f>(B164)+(B165)</f>
        <v>0</v>
      </c>
      <c r="C166" s="7">
        <f>(C164)+(C165)</f>
        <v>1000</v>
      </c>
      <c r="D166" s="7">
        <f t="shared" si="10"/>
        <v>-1000</v>
      </c>
      <c r="E166" s="8">
        <f t="shared" si="11"/>
        <v>0</v>
      </c>
    </row>
    <row r="167" spans="1:5" x14ac:dyDescent="0.3">
      <c r="A167" s="3" t="s">
        <v>165</v>
      </c>
      <c r="B167" s="5">
        <f>50</f>
        <v>50</v>
      </c>
      <c r="C167" s="5">
        <f>100</f>
        <v>100</v>
      </c>
      <c r="D167" s="5">
        <f t="shared" si="10"/>
        <v>-50</v>
      </c>
      <c r="E167" s="6">
        <f t="shared" si="11"/>
        <v>0.5</v>
      </c>
    </row>
    <row r="168" spans="1:5" x14ac:dyDescent="0.3">
      <c r="A168" s="3" t="s">
        <v>166</v>
      </c>
      <c r="B168" s="4"/>
      <c r="C168" s="5">
        <f>3000</f>
        <v>3000</v>
      </c>
      <c r="D168" s="5">
        <f t="shared" si="10"/>
        <v>-3000</v>
      </c>
      <c r="E168" s="6">
        <f t="shared" si="11"/>
        <v>0</v>
      </c>
    </row>
    <row r="169" spans="1:5" x14ac:dyDescent="0.3">
      <c r="A169" s="3" t="s">
        <v>167</v>
      </c>
      <c r="B169" s="4"/>
      <c r="C169" s="5">
        <f>50</f>
        <v>50</v>
      </c>
      <c r="D169" s="5">
        <f t="shared" si="10"/>
        <v>-50</v>
      </c>
      <c r="E169" s="6">
        <f t="shared" si="11"/>
        <v>0</v>
      </c>
    </row>
    <row r="170" spans="1:5" x14ac:dyDescent="0.3">
      <c r="A170" s="3" t="s">
        <v>168</v>
      </c>
      <c r="B170" s="4"/>
      <c r="C170" s="5">
        <f>50</f>
        <v>50</v>
      </c>
      <c r="D170" s="5">
        <f t="shared" si="10"/>
        <v>-50</v>
      </c>
      <c r="E170" s="6">
        <f t="shared" si="11"/>
        <v>0</v>
      </c>
    </row>
    <row r="171" spans="1:5" x14ac:dyDescent="0.3">
      <c r="A171" s="3" t="s">
        <v>169</v>
      </c>
      <c r="B171" s="4"/>
      <c r="C171" s="5">
        <f>250</f>
        <v>250</v>
      </c>
      <c r="D171" s="5">
        <f t="shared" si="10"/>
        <v>-250</v>
      </c>
      <c r="E171" s="6">
        <f t="shared" si="11"/>
        <v>0</v>
      </c>
    </row>
    <row r="172" spans="1:5" x14ac:dyDescent="0.3">
      <c r="A172" s="3" t="s">
        <v>170</v>
      </c>
      <c r="B172" s="5">
        <f>10509.43</f>
        <v>10509.43</v>
      </c>
      <c r="C172" s="5">
        <f>9300</f>
        <v>9300</v>
      </c>
      <c r="D172" s="5">
        <f t="shared" si="10"/>
        <v>1209.4300000000003</v>
      </c>
      <c r="E172" s="6">
        <f t="shared" si="11"/>
        <v>1.1300462365591397</v>
      </c>
    </row>
    <row r="173" spans="1:5" x14ac:dyDescent="0.3">
      <c r="A173" s="3" t="s">
        <v>171</v>
      </c>
      <c r="B173" s="5">
        <f>1039.01</f>
        <v>1039.01</v>
      </c>
      <c r="C173" s="5">
        <f>300</f>
        <v>300</v>
      </c>
      <c r="D173" s="5">
        <f t="shared" si="10"/>
        <v>739.01</v>
      </c>
      <c r="E173" s="6">
        <f t="shared" si="11"/>
        <v>3.4633666666666665</v>
      </c>
    </row>
    <row r="174" spans="1:5" x14ac:dyDescent="0.3">
      <c r="A174" s="3" t="s">
        <v>172</v>
      </c>
      <c r="B174" s="7">
        <f>(B172)+(B173)</f>
        <v>11548.44</v>
      </c>
      <c r="C174" s="7">
        <f>(C172)+(C173)</f>
        <v>9600</v>
      </c>
      <c r="D174" s="7">
        <f t="shared" si="10"/>
        <v>1948.4400000000005</v>
      </c>
      <c r="E174" s="8">
        <f t="shared" si="11"/>
        <v>1.2029625000000002</v>
      </c>
    </row>
    <row r="175" spans="1:5" x14ac:dyDescent="0.3">
      <c r="A175" s="3" t="s">
        <v>173</v>
      </c>
      <c r="B175" s="5">
        <f>5340.5</f>
        <v>5340.5</v>
      </c>
      <c r="C175" s="5">
        <f>40000</f>
        <v>40000</v>
      </c>
      <c r="D175" s="5">
        <f t="shared" si="10"/>
        <v>-34659.5</v>
      </c>
      <c r="E175" s="6">
        <f t="shared" si="11"/>
        <v>0.13351250000000001</v>
      </c>
    </row>
    <row r="176" spans="1:5" x14ac:dyDescent="0.3">
      <c r="A176" s="3" t="s">
        <v>174</v>
      </c>
      <c r="B176" s="5">
        <f>247.51</f>
        <v>247.51</v>
      </c>
      <c r="C176" s="5">
        <f>500</f>
        <v>500</v>
      </c>
      <c r="D176" s="5">
        <f t="shared" si="10"/>
        <v>-252.49</v>
      </c>
      <c r="E176" s="6">
        <f t="shared" si="11"/>
        <v>0.49501999999999996</v>
      </c>
    </row>
    <row r="177" spans="1:5" x14ac:dyDescent="0.3">
      <c r="A177" s="3" t="s">
        <v>175</v>
      </c>
      <c r="B177" s="5">
        <f>556.42</f>
        <v>556.41999999999996</v>
      </c>
      <c r="C177" s="5">
        <f>2000</f>
        <v>2000</v>
      </c>
      <c r="D177" s="5">
        <f t="shared" si="10"/>
        <v>-1443.58</v>
      </c>
      <c r="E177" s="6">
        <f t="shared" si="11"/>
        <v>0.27820999999999996</v>
      </c>
    </row>
    <row r="178" spans="1:5" x14ac:dyDescent="0.3">
      <c r="A178" s="3" t="s">
        <v>176</v>
      </c>
      <c r="B178" s="5">
        <f>1723.26</f>
        <v>1723.26</v>
      </c>
      <c r="C178" s="4"/>
      <c r="D178" s="5">
        <f t="shared" si="10"/>
        <v>1723.26</v>
      </c>
      <c r="E178" s="6" t="str">
        <f t="shared" si="11"/>
        <v/>
      </c>
    </row>
    <row r="179" spans="1:5" x14ac:dyDescent="0.3">
      <c r="A179" s="3" t="s">
        <v>177</v>
      </c>
      <c r="B179" s="7">
        <f>(B177)+(B178)</f>
        <v>2279.6799999999998</v>
      </c>
      <c r="C179" s="7">
        <f>(C177)+(C178)</f>
        <v>2000</v>
      </c>
      <c r="D179" s="7">
        <f t="shared" si="10"/>
        <v>279.67999999999984</v>
      </c>
      <c r="E179" s="8">
        <f t="shared" si="11"/>
        <v>1.13984</v>
      </c>
    </row>
    <row r="180" spans="1:5" x14ac:dyDescent="0.3">
      <c r="A180" s="3" t="s">
        <v>178</v>
      </c>
      <c r="B180" s="5">
        <f>3147.62</f>
        <v>3147.62</v>
      </c>
      <c r="C180" s="5">
        <f>2500</f>
        <v>2500</v>
      </c>
      <c r="D180" s="5">
        <f t="shared" si="10"/>
        <v>647.61999999999989</v>
      </c>
      <c r="E180" s="6">
        <f t="shared" si="11"/>
        <v>1.2590479999999999</v>
      </c>
    </row>
    <row r="181" spans="1:5" x14ac:dyDescent="0.3">
      <c r="A181" s="3" t="s">
        <v>179</v>
      </c>
      <c r="B181" s="5">
        <f>671.17</f>
        <v>671.17</v>
      </c>
      <c r="C181" s="5">
        <f>500</f>
        <v>500</v>
      </c>
      <c r="D181" s="5">
        <f t="shared" si="10"/>
        <v>171.16999999999996</v>
      </c>
      <c r="E181" s="6">
        <f t="shared" si="11"/>
        <v>1.3423399999999999</v>
      </c>
    </row>
    <row r="182" spans="1:5" x14ac:dyDescent="0.3">
      <c r="A182" s="3" t="s">
        <v>180</v>
      </c>
      <c r="B182" s="5">
        <f>3228.17</f>
        <v>3228.17</v>
      </c>
      <c r="C182" s="5">
        <f>500</f>
        <v>500</v>
      </c>
      <c r="D182" s="5">
        <f t="shared" si="10"/>
        <v>2728.17</v>
      </c>
      <c r="E182" s="6">
        <f t="shared" si="11"/>
        <v>6.45634</v>
      </c>
    </row>
    <row r="183" spans="1:5" x14ac:dyDescent="0.3">
      <c r="A183" s="3" t="s">
        <v>181</v>
      </c>
      <c r="B183" s="7">
        <f>((B180)+(B181))+(B182)</f>
        <v>7046.96</v>
      </c>
      <c r="C183" s="7">
        <f>((C180)+(C181))+(C182)</f>
        <v>3500</v>
      </c>
      <c r="D183" s="7">
        <f t="shared" si="10"/>
        <v>3546.96</v>
      </c>
      <c r="E183" s="8">
        <f t="shared" si="11"/>
        <v>2.013417142857143</v>
      </c>
    </row>
    <row r="184" spans="1:5" x14ac:dyDescent="0.3">
      <c r="A184" s="3" t="s">
        <v>182</v>
      </c>
      <c r="B184" s="5">
        <f>670</f>
        <v>670</v>
      </c>
      <c r="C184" s="5">
        <f>0</f>
        <v>0</v>
      </c>
      <c r="D184" s="5">
        <f t="shared" si="10"/>
        <v>670</v>
      </c>
      <c r="E184" s="6" t="str">
        <f t="shared" si="11"/>
        <v/>
      </c>
    </row>
    <row r="185" spans="1:5" x14ac:dyDescent="0.3">
      <c r="A185" s="3" t="s">
        <v>183</v>
      </c>
      <c r="B185" s="5">
        <f>326.72</f>
        <v>326.72000000000003</v>
      </c>
      <c r="C185" s="5">
        <f>900</f>
        <v>900</v>
      </c>
      <c r="D185" s="5">
        <f t="shared" si="10"/>
        <v>-573.28</v>
      </c>
      <c r="E185" s="6">
        <f t="shared" si="11"/>
        <v>0.36302222222222225</v>
      </c>
    </row>
    <row r="186" spans="1:5" x14ac:dyDescent="0.3">
      <c r="A186" s="3" t="s">
        <v>184</v>
      </c>
      <c r="B186" s="5">
        <f>1877.24</f>
        <v>1877.24</v>
      </c>
      <c r="C186" s="5">
        <f>2000</f>
        <v>2000</v>
      </c>
      <c r="D186" s="5">
        <f t="shared" si="10"/>
        <v>-122.75999999999999</v>
      </c>
      <c r="E186" s="6">
        <f t="shared" si="11"/>
        <v>0.93862000000000001</v>
      </c>
    </row>
    <row r="187" spans="1:5" x14ac:dyDescent="0.3">
      <c r="A187" s="3" t="s">
        <v>185</v>
      </c>
      <c r="B187" s="5">
        <f>29171.16</f>
        <v>29171.16</v>
      </c>
      <c r="C187" s="5">
        <f>9500</f>
        <v>9500</v>
      </c>
      <c r="D187" s="5">
        <f t="shared" si="10"/>
        <v>19671.16</v>
      </c>
      <c r="E187" s="6">
        <f t="shared" si="11"/>
        <v>3.0706484210526317</v>
      </c>
    </row>
    <row r="188" spans="1:5" x14ac:dyDescent="0.3">
      <c r="A188" s="3" t="s">
        <v>186</v>
      </c>
      <c r="B188" s="5">
        <f>6353.62</f>
        <v>6353.62</v>
      </c>
      <c r="C188" s="5">
        <f>4000</f>
        <v>4000</v>
      </c>
      <c r="D188" s="5">
        <f t="shared" si="10"/>
        <v>2353.62</v>
      </c>
      <c r="E188" s="6">
        <f t="shared" si="11"/>
        <v>1.5884050000000001</v>
      </c>
    </row>
    <row r="189" spans="1:5" x14ac:dyDescent="0.3">
      <c r="A189" s="3" t="s">
        <v>187</v>
      </c>
      <c r="B189" s="5">
        <f>551.05</f>
        <v>551.04999999999995</v>
      </c>
      <c r="C189" s="5">
        <f>540</f>
        <v>540</v>
      </c>
      <c r="D189" s="5">
        <f t="shared" si="10"/>
        <v>11.049999999999955</v>
      </c>
      <c r="E189" s="6">
        <f t="shared" si="11"/>
        <v>1.0204629629629629</v>
      </c>
    </row>
    <row r="190" spans="1:5" x14ac:dyDescent="0.3">
      <c r="A190" s="3" t="s">
        <v>188</v>
      </c>
      <c r="B190" s="5">
        <f>11092</f>
        <v>11092</v>
      </c>
      <c r="C190" s="5">
        <f>10000</f>
        <v>10000</v>
      </c>
      <c r="D190" s="5">
        <f t="shared" si="10"/>
        <v>1092</v>
      </c>
      <c r="E190" s="6">
        <f t="shared" si="11"/>
        <v>1.1092</v>
      </c>
    </row>
    <row r="191" spans="1:5" x14ac:dyDescent="0.3">
      <c r="A191" s="3" t="s">
        <v>189</v>
      </c>
      <c r="B191" s="5">
        <f>1613.84</f>
        <v>1613.84</v>
      </c>
      <c r="C191" s="5">
        <f>2000</f>
        <v>2000</v>
      </c>
      <c r="D191" s="5">
        <f t="shared" si="10"/>
        <v>-386.16000000000008</v>
      </c>
      <c r="E191" s="6">
        <f t="shared" si="11"/>
        <v>0.80691999999999997</v>
      </c>
    </row>
    <row r="192" spans="1:5" x14ac:dyDescent="0.3">
      <c r="A192" s="3" t="s">
        <v>190</v>
      </c>
      <c r="B192" s="5">
        <f>1460</f>
        <v>1460</v>
      </c>
      <c r="C192" s="5">
        <f>1200</f>
        <v>1200</v>
      </c>
      <c r="D192" s="5">
        <f t="shared" si="10"/>
        <v>260</v>
      </c>
      <c r="E192" s="6">
        <f t="shared" si="11"/>
        <v>1.2166666666666666</v>
      </c>
    </row>
    <row r="193" spans="1:5" x14ac:dyDescent="0.3">
      <c r="A193" s="3" t="s">
        <v>191</v>
      </c>
      <c r="B193" s="7">
        <f>((((B188)+(B189))+(B190))+(B191))+(B192)</f>
        <v>21070.51</v>
      </c>
      <c r="C193" s="7">
        <f>((((C188)+(C189))+(C190))+(C191))+(C192)</f>
        <v>17740</v>
      </c>
      <c r="D193" s="7">
        <f t="shared" si="10"/>
        <v>3330.5099999999984</v>
      </c>
      <c r="E193" s="8">
        <f t="shared" si="11"/>
        <v>1.1877401352874859</v>
      </c>
    </row>
    <row r="194" spans="1:5" x14ac:dyDescent="0.3">
      <c r="A194" s="3" t="s">
        <v>192</v>
      </c>
      <c r="B194" s="4"/>
      <c r="C194" s="5">
        <f>500</f>
        <v>500</v>
      </c>
      <c r="D194" s="5">
        <f t="shared" si="10"/>
        <v>-500</v>
      </c>
      <c r="E194" s="6">
        <f t="shared" si="11"/>
        <v>0</v>
      </c>
    </row>
    <row r="195" spans="1:5" x14ac:dyDescent="0.3">
      <c r="A195" s="3" t="s">
        <v>193</v>
      </c>
      <c r="B195" s="5">
        <f>145.42</f>
        <v>145.41999999999999</v>
      </c>
      <c r="C195" s="5">
        <f>300</f>
        <v>300</v>
      </c>
      <c r="D195" s="5">
        <f t="shared" si="10"/>
        <v>-154.58000000000001</v>
      </c>
      <c r="E195" s="6">
        <f t="shared" si="11"/>
        <v>0.48473333333333329</v>
      </c>
    </row>
    <row r="196" spans="1:5" x14ac:dyDescent="0.3">
      <c r="A196" s="3" t="s">
        <v>194</v>
      </c>
      <c r="B196" s="7">
        <f>((((((B184)+(B185))+(B186))+(B187))+(B193))+(B194))+(B195)</f>
        <v>53261.049999999996</v>
      </c>
      <c r="C196" s="7">
        <f>((((((C184)+(C185))+(C186))+(C187))+(C193))+(C194))+(C195)</f>
        <v>30940</v>
      </c>
      <c r="D196" s="7">
        <f t="shared" ref="D196:D227" si="12">(B196)-(C196)</f>
        <v>22321.049999999996</v>
      </c>
      <c r="E196" s="8">
        <f t="shared" ref="E196:E231" si="13">IF(C196=0,"",(B196)/(C196))</f>
        <v>1.7214301874595992</v>
      </c>
    </row>
    <row r="197" spans="1:5" x14ac:dyDescent="0.3">
      <c r="A197" s="3" t="s">
        <v>195</v>
      </c>
      <c r="B197" s="5">
        <f>1883.75</f>
        <v>1883.75</v>
      </c>
      <c r="C197" s="5">
        <f>7500</f>
        <v>7500</v>
      </c>
      <c r="D197" s="5">
        <f t="shared" si="12"/>
        <v>-5616.25</v>
      </c>
      <c r="E197" s="6">
        <f t="shared" si="13"/>
        <v>0.25116666666666665</v>
      </c>
    </row>
    <row r="198" spans="1:5" x14ac:dyDescent="0.3">
      <c r="A198" s="3" t="s">
        <v>196</v>
      </c>
      <c r="B198" s="5">
        <f>250.63</f>
        <v>250.63</v>
      </c>
      <c r="C198" s="5">
        <f>375</f>
        <v>375</v>
      </c>
      <c r="D198" s="5">
        <f t="shared" si="12"/>
        <v>-124.37</v>
      </c>
      <c r="E198" s="6">
        <f t="shared" si="13"/>
        <v>0.66834666666666664</v>
      </c>
    </row>
    <row r="199" spans="1:5" x14ac:dyDescent="0.3">
      <c r="A199" s="3" t="s">
        <v>197</v>
      </c>
      <c r="B199" s="5">
        <f>1380.28</f>
        <v>1380.28</v>
      </c>
      <c r="C199" s="5">
        <f>550</f>
        <v>550</v>
      </c>
      <c r="D199" s="5">
        <f t="shared" si="12"/>
        <v>830.28</v>
      </c>
      <c r="E199" s="6">
        <f t="shared" si="13"/>
        <v>2.5095999999999998</v>
      </c>
    </row>
    <row r="200" spans="1:5" x14ac:dyDescent="0.3">
      <c r="A200" s="3" t="s">
        <v>198</v>
      </c>
      <c r="B200" s="5">
        <f>11787.75</f>
        <v>11787.75</v>
      </c>
      <c r="C200" s="5">
        <f>13200</f>
        <v>13200</v>
      </c>
      <c r="D200" s="5">
        <f t="shared" si="12"/>
        <v>-1412.25</v>
      </c>
      <c r="E200" s="6">
        <f t="shared" si="13"/>
        <v>0.89301136363636369</v>
      </c>
    </row>
    <row r="201" spans="1:5" x14ac:dyDescent="0.3">
      <c r="A201" s="3" t="s">
        <v>199</v>
      </c>
      <c r="B201" s="4"/>
      <c r="C201" s="4"/>
      <c r="D201" s="5">
        <f t="shared" si="12"/>
        <v>0</v>
      </c>
      <c r="E201" s="6" t="str">
        <f t="shared" si="13"/>
        <v/>
      </c>
    </row>
    <row r="202" spans="1:5" x14ac:dyDescent="0.3">
      <c r="A202" s="3" t="s">
        <v>200</v>
      </c>
      <c r="B202" s="5">
        <f>254.75</f>
        <v>254.75</v>
      </c>
      <c r="C202" s="5">
        <f>1600</f>
        <v>1600</v>
      </c>
      <c r="D202" s="5">
        <f t="shared" si="12"/>
        <v>-1345.25</v>
      </c>
      <c r="E202" s="6">
        <f t="shared" si="13"/>
        <v>0.15921874999999999</v>
      </c>
    </row>
    <row r="203" spans="1:5" x14ac:dyDescent="0.3">
      <c r="A203" s="3" t="s">
        <v>201</v>
      </c>
      <c r="B203" s="5">
        <f>185</f>
        <v>185</v>
      </c>
      <c r="C203" s="5">
        <f>1600</f>
        <v>1600</v>
      </c>
      <c r="D203" s="5">
        <f t="shared" si="12"/>
        <v>-1415</v>
      </c>
      <c r="E203" s="6">
        <f t="shared" si="13"/>
        <v>0.11562500000000001</v>
      </c>
    </row>
    <row r="204" spans="1:5" x14ac:dyDescent="0.3">
      <c r="A204" s="3" t="s">
        <v>202</v>
      </c>
      <c r="B204" s="4"/>
      <c r="C204" s="5">
        <f>1600</f>
        <v>1600</v>
      </c>
      <c r="D204" s="5">
        <f t="shared" si="12"/>
        <v>-1600</v>
      </c>
      <c r="E204" s="6">
        <f t="shared" si="13"/>
        <v>0</v>
      </c>
    </row>
    <row r="205" spans="1:5" x14ac:dyDescent="0.3">
      <c r="A205" s="3" t="s">
        <v>203</v>
      </c>
      <c r="B205" s="7">
        <f>(((B201)+(B202))+(B203))+(B204)</f>
        <v>439.75</v>
      </c>
      <c r="C205" s="7">
        <f>(((C201)+(C202))+(C203))+(C204)</f>
        <v>4800</v>
      </c>
      <c r="D205" s="7">
        <f t="shared" si="12"/>
        <v>-4360.25</v>
      </c>
      <c r="E205" s="8">
        <f t="shared" si="13"/>
        <v>9.1614583333333333E-2</v>
      </c>
    </row>
    <row r="206" spans="1:5" x14ac:dyDescent="0.3">
      <c r="A206" s="3" t="s">
        <v>204</v>
      </c>
      <c r="B206" s="5">
        <f>524.83</f>
        <v>524.83000000000004</v>
      </c>
      <c r="C206" s="5">
        <f>500</f>
        <v>500</v>
      </c>
      <c r="D206" s="5">
        <f t="shared" si="12"/>
        <v>24.830000000000041</v>
      </c>
      <c r="E206" s="6">
        <f t="shared" si="13"/>
        <v>1.04966</v>
      </c>
    </row>
    <row r="207" spans="1:5" x14ac:dyDescent="0.3">
      <c r="A207" s="3" t="s">
        <v>205</v>
      </c>
      <c r="B207" s="5">
        <f>468.21</f>
        <v>468.21</v>
      </c>
      <c r="C207" s="5">
        <f>100</f>
        <v>100</v>
      </c>
      <c r="D207" s="5">
        <f t="shared" si="12"/>
        <v>368.21</v>
      </c>
      <c r="E207" s="6">
        <f t="shared" si="13"/>
        <v>4.6821000000000002</v>
      </c>
    </row>
    <row r="208" spans="1:5" x14ac:dyDescent="0.3">
      <c r="A208" s="3" t="s">
        <v>206</v>
      </c>
      <c r="B208" s="7">
        <f>(B206)+(B207)</f>
        <v>993.04</v>
      </c>
      <c r="C208" s="7">
        <f>(C206)+(C207)</f>
        <v>600</v>
      </c>
      <c r="D208" s="7">
        <f t="shared" si="12"/>
        <v>393.03999999999996</v>
      </c>
      <c r="E208" s="8">
        <f t="shared" si="13"/>
        <v>1.6550666666666667</v>
      </c>
    </row>
    <row r="209" spans="1:5" x14ac:dyDescent="0.3">
      <c r="A209" s="3" t="s">
        <v>207</v>
      </c>
      <c r="B209" s="5">
        <f>4284</f>
        <v>4284</v>
      </c>
      <c r="C209" s="5">
        <f>2380</f>
        <v>2380</v>
      </c>
      <c r="D209" s="5">
        <f t="shared" si="12"/>
        <v>1904</v>
      </c>
      <c r="E209" s="6">
        <f t="shared" si="13"/>
        <v>1.8</v>
      </c>
    </row>
    <row r="210" spans="1:5" x14ac:dyDescent="0.3">
      <c r="A210" s="3" t="s">
        <v>208</v>
      </c>
      <c r="B210" s="4"/>
      <c r="C210" s="5">
        <f>500</f>
        <v>500</v>
      </c>
      <c r="D210" s="5">
        <f t="shared" si="12"/>
        <v>-500</v>
      </c>
      <c r="E210" s="6">
        <f t="shared" si="13"/>
        <v>0</v>
      </c>
    </row>
    <row r="211" spans="1:5" x14ac:dyDescent="0.3">
      <c r="A211" s="3" t="s">
        <v>209</v>
      </c>
      <c r="B211" s="4"/>
      <c r="C211" s="5">
        <f>25</f>
        <v>25</v>
      </c>
      <c r="D211" s="5">
        <f t="shared" si="12"/>
        <v>-25</v>
      </c>
      <c r="E211" s="6">
        <f t="shared" si="13"/>
        <v>0</v>
      </c>
    </row>
    <row r="212" spans="1:5" x14ac:dyDescent="0.3">
      <c r="A212" s="3" t="s">
        <v>210</v>
      </c>
      <c r="B212" s="4"/>
      <c r="C212" s="5">
        <f>2500</f>
        <v>2500</v>
      </c>
      <c r="D212" s="5">
        <f t="shared" si="12"/>
        <v>-2500</v>
      </c>
      <c r="E212" s="6">
        <f t="shared" si="13"/>
        <v>0</v>
      </c>
    </row>
    <row r="213" spans="1:5" x14ac:dyDescent="0.3">
      <c r="A213" s="3" t="s">
        <v>211</v>
      </c>
      <c r="B213" s="4"/>
      <c r="C213" s="4"/>
      <c r="D213" s="5">
        <f t="shared" si="12"/>
        <v>0</v>
      </c>
      <c r="E213" s="6" t="str">
        <f t="shared" si="13"/>
        <v/>
      </c>
    </row>
    <row r="214" spans="1:5" x14ac:dyDescent="0.3">
      <c r="A214" s="3" t="s">
        <v>212</v>
      </c>
      <c r="B214" s="5">
        <f>21152.86</f>
        <v>21152.86</v>
      </c>
      <c r="C214" s="5">
        <f>31000</f>
        <v>31000</v>
      </c>
      <c r="D214" s="5">
        <f t="shared" si="12"/>
        <v>-9847.14</v>
      </c>
      <c r="E214" s="6">
        <f t="shared" si="13"/>
        <v>0.68235032258064521</v>
      </c>
    </row>
    <row r="215" spans="1:5" x14ac:dyDescent="0.3">
      <c r="A215" s="3" t="s">
        <v>213</v>
      </c>
      <c r="B215" s="5">
        <f>1613.54</f>
        <v>1613.54</v>
      </c>
      <c r="C215" s="5">
        <f>2375</f>
        <v>2375</v>
      </c>
      <c r="D215" s="5">
        <f t="shared" si="12"/>
        <v>-761.46</v>
      </c>
      <c r="E215" s="6">
        <f t="shared" si="13"/>
        <v>0.67938526315789471</v>
      </c>
    </row>
    <row r="216" spans="1:5" x14ac:dyDescent="0.3">
      <c r="A216" s="3" t="s">
        <v>214</v>
      </c>
      <c r="B216" s="7">
        <f>((B213)+(B214))+(B215)</f>
        <v>22766.400000000001</v>
      </c>
      <c r="C216" s="7">
        <f>((C213)+(C214))+(C215)</f>
        <v>33375</v>
      </c>
      <c r="D216" s="7">
        <f t="shared" si="12"/>
        <v>-10608.599999999999</v>
      </c>
      <c r="E216" s="8">
        <f t="shared" si="13"/>
        <v>0.68213932584269665</v>
      </c>
    </row>
    <row r="217" spans="1:5" x14ac:dyDescent="0.3">
      <c r="A217" s="3" t="s">
        <v>215</v>
      </c>
      <c r="B217" s="7">
        <f>(((((((((((((((((((((((B163)+(B166))+(B167))+(B168))+(B169))+(B170))+(B171))+(B174))+(B175))+(B176))+(B179))+(B183))+(B196))+(B197))+(B198))+(B199))+(B200))+(B205))+(B208))+(B209))+(B210))+(B211))+(B212))+(B216)</f>
        <v>123559.73999999999</v>
      </c>
      <c r="C217" s="7">
        <f>(((((((((((((((((((((((C163)+(C166))+(C167))+(C168))+(C169))+(C170))+(C171))+(C174))+(C175))+(C176))+(C179))+(C183))+(C196))+(C197))+(C198))+(C199))+(C200))+(C205))+(C208))+(C209))+(C210))+(C211))+(C212))+(C216)</f>
        <v>156795</v>
      </c>
      <c r="D217" s="7">
        <f t="shared" si="12"/>
        <v>-33235.260000000009</v>
      </c>
      <c r="E217" s="8">
        <f t="shared" si="13"/>
        <v>0.78803367454319329</v>
      </c>
    </row>
    <row r="218" spans="1:5" x14ac:dyDescent="0.3">
      <c r="A218" s="3" t="s">
        <v>216</v>
      </c>
      <c r="B218" s="4"/>
      <c r="C218" s="4"/>
      <c r="D218" s="5">
        <f t="shared" si="12"/>
        <v>0</v>
      </c>
      <c r="E218" s="6" t="str">
        <f t="shared" si="13"/>
        <v/>
      </c>
    </row>
    <row r="219" spans="1:5" x14ac:dyDescent="0.3">
      <c r="A219" s="3" t="s">
        <v>217</v>
      </c>
      <c r="B219" s="5">
        <f>25500</f>
        <v>25500</v>
      </c>
      <c r="C219" s="4"/>
      <c r="D219" s="5">
        <f t="shared" si="12"/>
        <v>25500</v>
      </c>
      <c r="E219" s="6" t="str">
        <f t="shared" si="13"/>
        <v/>
      </c>
    </row>
    <row r="220" spans="1:5" x14ac:dyDescent="0.3">
      <c r="A220" s="3" t="s">
        <v>218</v>
      </c>
      <c r="B220" s="5">
        <f>10336</f>
        <v>10336</v>
      </c>
      <c r="C220" s="4"/>
      <c r="D220" s="5">
        <f t="shared" si="12"/>
        <v>10336</v>
      </c>
      <c r="E220" s="6" t="str">
        <f t="shared" si="13"/>
        <v/>
      </c>
    </row>
    <row r="221" spans="1:5" x14ac:dyDescent="0.3">
      <c r="A221" s="3" t="s">
        <v>219</v>
      </c>
      <c r="B221" s="7">
        <f>((B218)+(B219))+(B220)</f>
        <v>35836</v>
      </c>
      <c r="C221" s="7">
        <f>((C218)+(C219))+(C220)</f>
        <v>0</v>
      </c>
      <c r="D221" s="7">
        <f t="shared" si="12"/>
        <v>35836</v>
      </c>
      <c r="E221" s="8" t="str">
        <f t="shared" si="13"/>
        <v/>
      </c>
    </row>
    <row r="222" spans="1:5" x14ac:dyDescent="0.3">
      <c r="A222" s="3" t="s">
        <v>220</v>
      </c>
      <c r="B222" s="5">
        <f>-29.61</f>
        <v>-29.61</v>
      </c>
      <c r="C222" s="4"/>
      <c r="D222" s="5">
        <f t="shared" si="12"/>
        <v>-29.61</v>
      </c>
      <c r="E222" s="6" t="str">
        <f t="shared" si="13"/>
        <v/>
      </c>
    </row>
    <row r="223" spans="1:5" x14ac:dyDescent="0.3">
      <c r="A223" s="3" t="s">
        <v>221</v>
      </c>
      <c r="B223" s="5">
        <f>200</f>
        <v>200</v>
      </c>
      <c r="C223" s="4"/>
      <c r="D223" s="5">
        <f t="shared" si="12"/>
        <v>200</v>
      </c>
      <c r="E223" s="6" t="str">
        <f t="shared" si="13"/>
        <v/>
      </c>
    </row>
    <row r="224" spans="1:5" x14ac:dyDescent="0.3">
      <c r="A224" s="3" t="s">
        <v>222</v>
      </c>
      <c r="B224" s="4"/>
      <c r="C224" s="4"/>
      <c r="D224" s="5">
        <f t="shared" si="12"/>
        <v>0</v>
      </c>
      <c r="E224" s="6" t="str">
        <f t="shared" si="13"/>
        <v/>
      </c>
    </row>
    <row r="225" spans="1:5" x14ac:dyDescent="0.3">
      <c r="A225" s="3" t="s">
        <v>223</v>
      </c>
      <c r="B225" s="5">
        <f>3625</f>
        <v>3625</v>
      </c>
      <c r="C225" s="5">
        <f>7000</f>
        <v>7000</v>
      </c>
      <c r="D225" s="5">
        <f t="shared" si="12"/>
        <v>-3375</v>
      </c>
      <c r="E225" s="6">
        <f t="shared" si="13"/>
        <v>0.5178571428571429</v>
      </c>
    </row>
    <row r="226" spans="1:5" x14ac:dyDescent="0.3">
      <c r="A226" s="3" t="s">
        <v>224</v>
      </c>
      <c r="B226" s="5">
        <f>12810.68</f>
        <v>12810.68</v>
      </c>
      <c r="C226" s="5">
        <f>12000</f>
        <v>12000</v>
      </c>
      <c r="D226" s="5">
        <f t="shared" si="12"/>
        <v>810.68000000000029</v>
      </c>
      <c r="E226" s="6">
        <f t="shared" si="13"/>
        <v>1.0675566666666667</v>
      </c>
    </row>
    <row r="227" spans="1:5" x14ac:dyDescent="0.3">
      <c r="A227" s="3" t="s">
        <v>225</v>
      </c>
      <c r="B227" s="5">
        <f>4800</f>
        <v>4800</v>
      </c>
      <c r="C227" s="4"/>
      <c r="D227" s="5">
        <f t="shared" si="12"/>
        <v>4800</v>
      </c>
      <c r="E227" s="6" t="str">
        <f t="shared" si="13"/>
        <v/>
      </c>
    </row>
    <row r="228" spans="1:5" x14ac:dyDescent="0.3">
      <c r="A228" s="3" t="s">
        <v>226</v>
      </c>
      <c r="B228" s="7">
        <f>(((B224)+(B225))+(B226))+(B227)</f>
        <v>21235.68</v>
      </c>
      <c r="C228" s="7">
        <f>(((C224)+(C225))+(C226))+(C227)</f>
        <v>19000</v>
      </c>
      <c r="D228" s="7">
        <f t="shared" ref="D228:D231" si="14">(B228)-(C228)</f>
        <v>2235.6800000000003</v>
      </c>
      <c r="E228" s="8">
        <f t="shared" si="13"/>
        <v>1.1176673684210527</v>
      </c>
    </row>
    <row r="229" spans="1:5" x14ac:dyDescent="0.3">
      <c r="A229" s="3" t="s">
        <v>227</v>
      </c>
      <c r="B229" s="7">
        <f>((((((((((((B102)+(B103))+(B108))+(B109))+(B120))+(B121))+(B122))+(B162))+(B217))+(B221))+(B222))+(B223))+(B228)</f>
        <v>489564.21</v>
      </c>
      <c r="C229" s="7">
        <f>((((((((((((C102)+(C103))+(C108))+(C109))+(C120))+(C121))+(C122))+(C162))+(C217))+(C221))+(C222))+(C223))+(C228)</f>
        <v>526254</v>
      </c>
      <c r="D229" s="7">
        <f t="shared" si="14"/>
        <v>-36689.789999999979</v>
      </c>
      <c r="E229" s="8">
        <f t="shared" si="13"/>
        <v>0.93028121401452535</v>
      </c>
    </row>
    <row r="230" spans="1:5" x14ac:dyDescent="0.3">
      <c r="A230" s="3" t="s">
        <v>228</v>
      </c>
      <c r="B230" s="7">
        <f>(B98)-(B229)</f>
        <v>747310.78</v>
      </c>
      <c r="C230" s="7">
        <f>(C98)-(C229)</f>
        <v>-60784</v>
      </c>
      <c r="D230" s="7">
        <f t="shared" si="14"/>
        <v>808094.78</v>
      </c>
      <c r="E230" s="8">
        <f t="shared" si="13"/>
        <v>-12.294531126612267</v>
      </c>
    </row>
    <row r="231" spans="1:5" x14ac:dyDescent="0.3">
      <c r="A231" s="3" t="s">
        <v>229</v>
      </c>
      <c r="B231" s="9">
        <f>(B230)+(0)</f>
        <v>747310.78</v>
      </c>
      <c r="C231" s="9">
        <f>(C230)+(0)</f>
        <v>-60784</v>
      </c>
      <c r="D231" s="9">
        <f t="shared" si="14"/>
        <v>808094.78</v>
      </c>
      <c r="E231" s="10">
        <f t="shared" si="13"/>
        <v>-12.294531126612267</v>
      </c>
    </row>
    <row r="232" spans="1:5" x14ac:dyDescent="0.3">
      <c r="A232" s="3"/>
      <c r="B232" s="4"/>
      <c r="C232" s="4"/>
      <c r="D232" s="4"/>
      <c r="E232" s="4"/>
    </row>
    <row r="235" spans="1:5" x14ac:dyDescent="0.3">
      <c r="A235" s="13" t="s">
        <v>230</v>
      </c>
      <c r="B235" s="14"/>
      <c r="C235" s="14"/>
      <c r="D235" s="14"/>
      <c r="E235" s="14"/>
    </row>
  </sheetData>
  <mergeCells count="5">
    <mergeCell ref="B5:E5"/>
    <mergeCell ref="A235:E235"/>
    <mergeCell ref="A1:E1"/>
    <mergeCell ref="A2:E2"/>
    <mergeCell ref="A3:E3"/>
  </mergeCells>
  <printOptions headings="1" gridLines="1"/>
  <pageMargins left="0.25" right="0.25" top="0" bottom="0" header="0" footer="0"/>
  <pageSetup scale="9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2022-08-29T20:48:28Z</cp:lastPrinted>
  <dcterms:created xsi:type="dcterms:W3CDTF">2022-08-29T20:45:12Z</dcterms:created>
  <dcterms:modified xsi:type="dcterms:W3CDTF">2022-09-02T14:04:27Z</dcterms:modified>
</cp:coreProperties>
</file>